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E:\Mi unidad\2025\COF\"/>
    </mc:Choice>
  </mc:AlternateContent>
  <xr:revisionPtr revIDLastSave="0" documentId="13_ncr:1_{1409FA62-C30F-4CBF-85C1-F567B0D5407D}" xr6:coauthVersionLast="47" xr6:coauthVersionMax="47" xr10:uidLastSave="{00000000-0000-0000-0000-000000000000}"/>
  <bookViews>
    <workbookView xWindow="-120" yWindow="-120" windowWidth="24240" windowHeight="13140" tabRatio="952" firstSheet="29" activeTab="29" xr2:uid="{00000000-000D-0000-FFFF-FFFF00000000}"/>
  </bookViews>
  <sheets>
    <sheet name="Hoja10" sheetId="145" state="hidden" r:id="rId1"/>
    <sheet name="LINIX" sheetId="149" state="hidden" r:id="rId2"/>
    <sheet name="BALANCE AÑO ANTERIOR" sheetId="50" state="hidden" r:id="rId3"/>
    <sheet name="EJE PRESUPUESTAL " sheetId="36" state="hidden" r:id="rId4"/>
    <sheet name="PYG2010_2009" sheetId="2" state="hidden" r:id="rId5"/>
    <sheet name="Interpretacion_Indicadores" sheetId="32" state="hidden" r:id="rId6"/>
    <sheet name="Hoja1" sheetId="37" state="hidden" r:id="rId7"/>
    <sheet name="Hoja6" sheetId="71" state="hidden" r:id="rId8"/>
    <sheet name="PYGCOM-CON AÑO ANTERIOR " sheetId="57" state="hidden" r:id="rId9"/>
    <sheet name="Mapa_Indicadores" sheetId="70" state="hidden" r:id="rId10"/>
    <sheet name="Mapa_Indicadores (2)" sheetId="86" state="hidden" r:id="rId11"/>
    <sheet name="Indicadores (2)" sheetId="63" state="hidden" r:id="rId12"/>
    <sheet name="Hoja2 (2)" sheetId="69" state="hidden" r:id="rId13"/>
    <sheet name="Indicadores" sheetId="12" state="hidden" r:id="rId14"/>
    <sheet name="estado resultado 1" sheetId="42" state="hidden" r:id="rId15"/>
    <sheet name="Hoja2" sheetId="64" state="hidden" r:id="rId16"/>
    <sheet name="Hoja3" sheetId="65" state="hidden" r:id="rId17"/>
    <sheet name="Hoja4" sheetId="72" state="hidden" r:id="rId18"/>
    <sheet name="Indicadores (3)" sheetId="73" state="hidden" r:id="rId19"/>
    <sheet name="Presup_2013 (4)" sheetId="107" state="hidden" r:id="rId20"/>
    <sheet name="EJECUTADO VS PRESUPUESTO ANUAL" sheetId="108" state="hidden" r:id="rId21"/>
    <sheet name="PRESUPUESTO 2014" sheetId="126" state="hidden" r:id="rId22"/>
    <sheet name="Hoja5" sheetId="84" state="hidden" r:id="rId23"/>
    <sheet name="Hoja7" sheetId="85" state="hidden" r:id="rId24"/>
    <sheet name="Hoja8" sheetId="136" state="hidden" r:id="rId25"/>
    <sheet name="Mapa_Indicadores (3)" sheetId="146" state="hidden" r:id="rId26"/>
    <sheet name="Presupuesto_2015_ Ajustado2 (2" sheetId="140" state="hidden" r:id="rId27"/>
    <sheet name="Hoja9" sheetId="141" state="hidden" r:id="rId28"/>
    <sheet name="Presupuesto_2015_ Ajustado2 (2)" sheetId="151" state="hidden" r:id="rId29"/>
    <sheet name="ESTADO SIT FINANCIERA 24-23" sheetId="152" r:id="rId30"/>
    <sheet name="PYG COMPARTIVO 24-23" sheetId="153" r:id="rId31"/>
    <sheet name="FLUJO DE EFECTIVO 24-23" sheetId="154" r:id="rId32"/>
    <sheet name="EST CAMBIO PATRIMONIO 24-23" sheetId="157" r:id="rId33"/>
    <sheet name="consolidado balance sas 24-23" sheetId="162" r:id="rId34"/>
    <sheet name="NUEVO EEFF CONSOLIDADO 22" sheetId="166" state="hidden" r:id="rId35"/>
    <sheet name="FLUJO DE EFECTIVO 24-23(CONSOL)" sheetId="165" r:id="rId36"/>
    <sheet name="E R INTEGRA CONS IF 22-21" sheetId="163" state="hidden" r:id="rId37"/>
    <sheet name="est cambio sit fin 2017" sheetId="155" state="hidden" r:id="rId38"/>
    <sheet name="NIIF 2015-2016" sheetId="158" state="hidden" r:id="rId39"/>
    <sheet name="consolidado if sas 2016" sheetId="159" state="hidden" r:id="rId40"/>
    <sheet name="Hoja11" sheetId="160" state="hidden" r:id="rId41"/>
    <sheet name="pyg comparativo simplificado" sheetId="164" state="hidden" r:id="rId42"/>
  </sheets>
  <definedNames>
    <definedName name="_____HCA1">#REF!</definedName>
    <definedName name="____HCA1">#REF!</definedName>
    <definedName name="___HCA1" localSheetId="33">#REF!</definedName>
    <definedName name="__HCA1">#REF!</definedName>
    <definedName name="_xlnm._FilterDatabase" localSheetId="34" hidden="1">'NUEVO EEFF CONSOLIDADO 22'!$A$5:$F$36</definedName>
    <definedName name="_HCA1" localSheetId="2">"$#REF!.#REF!$#REF!"</definedName>
    <definedName name="_HCA1" localSheetId="33">#REF!</definedName>
    <definedName name="_HCA1" localSheetId="39">"$#REF!.#REF!$#REF!"</definedName>
    <definedName name="_HCA1" localSheetId="36">"$#REF!.#REF!$#REF!"</definedName>
    <definedName name="_HCA1" localSheetId="3">"$#REF!.#REF!$#REF!"</definedName>
    <definedName name="_HCA1" localSheetId="20">"$#REF!.#REF!$#REF!"</definedName>
    <definedName name="_HCA1" localSheetId="18">#REF!</definedName>
    <definedName name="_HCA1" localSheetId="9">#REF!</definedName>
    <definedName name="_HCA1" localSheetId="10">#REF!</definedName>
    <definedName name="_HCA1" localSheetId="25">#REF!</definedName>
    <definedName name="_HCA1" localSheetId="21">"$#REF!.#REF!$#REF!"</definedName>
    <definedName name="_HCA1" localSheetId="26">"$#REF!.#REF!$#REF!"</definedName>
    <definedName name="_HCA1" localSheetId="28">"$#REF!.#REF!$#REF!"</definedName>
    <definedName name="_HCA1" localSheetId="8">"$#REF!.#REF!$#REF!"</definedName>
    <definedName name="_HCA1">#REF!</definedName>
    <definedName name="A_impresión_IM" localSheetId="2">"$#REF!.$A$56:$D$77"</definedName>
    <definedName name="A_impresión_IM" localSheetId="33">#REF!</definedName>
    <definedName name="A_impresión_IM" localSheetId="39">"$#REF!.$A$56:$D$77"</definedName>
    <definedName name="A_impresión_IM" localSheetId="36">"$#REF!.$A$56:$D$77"</definedName>
    <definedName name="A_impresión_IM" localSheetId="3">"$#REF!.$A$56:$D$77"</definedName>
    <definedName name="A_impresión_IM" localSheetId="20">"$#REF!.$A$56:$D$77"</definedName>
    <definedName name="A_impresión_IM" localSheetId="25">#REF!</definedName>
    <definedName name="A_impresión_IM" localSheetId="21">"$#REF!.$A$56:$D$77"</definedName>
    <definedName name="A_impresión_IM" localSheetId="26">"$#REF!.$A$56:$D$77"</definedName>
    <definedName name="A_impresión_IM" localSheetId="28">"$#REF!.$A$56:$D$77"</definedName>
    <definedName name="A_impresión_IM" localSheetId="8">"$#REF!.$A$56:$D$77"</definedName>
    <definedName name="A_impresión_IM">#REF!</definedName>
    <definedName name="ACT" localSheetId="2">"'file://Gerencia/c/Mis documentos/INFORME JUNTA/TEMP/PUNTOS.XLS'#$Puntos.$#REF!$#REF!"</definedName>
    <definedName name="ACT" localSheetId="33">#REF!</definedName>
    <definedName name="ACT" localSheetId="39">"'file://Gerencia/c/Mis documentos/INFORME JUNTA/TEMP/PUNTOS.XLS'#$Puntos.$#REF!$#REF!"</definedName>
    <definedName name="ACT" localSheetId="36">"'file://Gerencia/c/Mis documentos/INFORME JUNTA/TEMP/PUNTOS.XLS'#$Puntos.$#REF!$#REF!"</definedName>
    <definedName name="ACT" localSheetId="3">"'file://Gerencia/c/Mis documentos/INFORME JUNTA/TEMP/PUNTOS.XLS'#$Puntos.$#REF!$#REF!"</definedName>
    <definedName name="ACT" localSheetId="20">"'file://Gerencia/c/Mis documentos/INFORME JUNTA/TEMP/PUNTOS.XLS'#$Puntos.$#REF!$#REF!"</definedName>
    <definedName name="ACT" localSheetId="18">#REF!</definedName>
    <definedName name="ACT" localSheetId="9">#REF!</definedName>
    <definedName name="ACT" localSheetId="10">#REF!</definedName>
    <definedName name="ACT" localSheetId="25">#REF!</definedName>
    <definedName name="ACT" localSheetId="21">"'file://Gerencia/c/Mis documentos/INFORME JUNTA/TEMP/PUNTOS.XLS'#$Puntos.$#REF!$#REF!"</definedName>
    <definedName name="ACT" localSheetId="26">"'file://Gerencia/c/Mis documentos/INFORME JUNTA/TEMP/PUNTOS.XLS'#$Puntos.$#REF!$#REF!"</definedName>
    <definedName name="ACT" localSheetId="28">"'file://Gerencia/c/Mis documentos/INFORME JUNTA/TEMP/PUNTOS.XLS'#$Puntos.$#REF!$#REF!"</definedName>
    <definedName name="ACT" localSheetId="8">"'file://Gerencia/c/Mis documentos/INFORME JUNTA/TEMP/PUNTOS.XLS'#$Puntos.$#REF!$#REF!"</definedName>
    <definedName name="ACT">#REF!</definedName>
    <definedName name="_xlnm.Print_Area" localSheetId="33">'consolidado balance sas 24-23'!$A$1:$J$102</definedName>
    <definedName name="_xlnm.Print_Area" localSheetId="39">'consolidado if sas 2016'!$A$1:$J$103</definedName>
    <definedName name="_xlnm.Print_Area" localSheetId="36">'E R INTEGRA CONS IF 22-21'!$A$1:$F$58</definedName>
    <definedName name="_xlnm.Print_Area" localSheetId="3">'EJE PRESUPUESTAL '!$A$5:$B$102</definedName>
    <definedName name="_xlnm.Print_Area" localSheetId="20">'EJECUTADO VS PRESUPUESTO ANUAL'!$A$3:$B$94</definedName>
    <definedName name="_xlnm.Print_Area" localSheetId="29">'ESTADO SIT FINANCIERA 24-23'!$A$1:$H$83</definedName>
    <definedName name="_xlnm.Print_Area" localSheetId="31">'FLUJO DE EFECTIVO 24-23'!$A$1:$F$47</definedName>
    <definedName name="_xlnm.Print_Area" localSheetId="35">'FLUJO DE EFECTIVO 24-23(CONSOL)'!$A$1:$G$47</definedName>
    <definedName name="_xlnm.Print_Area" localSheetId="13">Indicadores!$A$3:$M$40</definedName>
    <definedName name="_xlnm.Print_Area" localSheetId="11">'Indicadores (2)'!$A$3:$P$40</definedName>
    <definedName name="_xlnm.Print_Area" localSheetId="18">'Indicadores (3)'!$A$3:$O$40</definedName>
    <definedName name="_xlnm.Print_Area" localSheetId="9">Mapa_Indicadores!$F$1:$T$37</definedName>
    <definedName name="_xlnm.Print_Area" localSheetId="10">'Mapa_Indicadores (2)'!$F$1:$T$37</definedName>
    <definedName name="_xlnm.Print_Area" localSheetId="25">'Mapa_Indicadores (3)'!$F$1:$T$37</definedName>
    <definedName name="_xlnm.Print_Area" localSheetId="19">'Presup_2013 (4)'!$B$2:$F$97</definedName>
    <definedName name="_xlnm.Print_Area" localSheetId="21">'PRESUPUESTO 2014'!$A$1:$J$101</definedName>
    <definedName name="_xlnm.Print_Area" localSheetId="26">'Presupuesto_2015_ Ajustado2 (2'!$A$1:$J$99</definedName>
    <definedName name="_xlnm.Print_Area" localSheetId="28">'Presupuesto_2015_ Ajustado2 (2)'!$A$1:$J$99</definedName>
    <definedName name="_xlnm.Print_Area" localSheetId="8">'PYGCOM-CON AÑO ANTERIOR '!$A$1:$J$108</definedName>
    <definedName name="Balance_Mes_Anterior" localSheetId="33">#REF!</definedName>
    <definedName name="Balance_Mes_Anterior" localSheetId="20">#REF!</definedName>
    <definedName name="Balance_Mes_Anterior" localSheetId="18">#REF!</definedName>
    <definedName name="Balance_Mes_Anterior" localSheetId="9">#REF!</definedName>
    <definedName name="Balance_Mes_Anterior" localSheetId="10">#REF!</definedName>
    <definedName name="Balance_Mes_Anterior" localSheetId="25">#REF!</definedName>
    <definedName name="Balance_Mes_Anterior" localSheetId="26">#REF!</definedName>
    <definedName name="Balance_Mes_Anterior" localSheetId="28">#REF!</definedName>
    <definedName name="Balance_Mes_Anterior">#REF!</definedName>
    <definedName name="Base_datos_IM" localSheetId="2">"$#REF!.$#REF!$#REF!"</definedName>
    <definedName name="Base_datos_IM" localSheetId="33">#REF!</definedName>
    <definedName name="Base_datos_IM" localSheetId="39">"$#REF!.$#REF!$#REF!"</definedName>
    <definedName name="Base_datos_IM" localSheetId="36">"$#REF!.$#REF!$#REF!"</definedName>
    <definedName name="Base_datos_IM" localSheetId="3">"$#REF!.$#REF!$#REF!"</definedName>
    <definedName name="Base_datos_IM" localSheetId="20">"$#REF!.$#REF!$#REF!"</definedName>
    <definedName name="Base_datos_IM" localSheetId="18">#REF!</definedName>
    <definedName name="Base_datos_IM" localSheetId="9">#REF!</definedName>
    <definedName name="Base_datos_IM" localSheetId="10">#REF!</definedName>
    <definedName name="Base_datos_IM" localSheetId="25">#REF!</definedName>
    <definedName name="Base_datos_IM" localSheetId="21">"$#REF!.$#REF!$#REF!"</definedName>
    <definedName name="Base_datos_IM" localSheetId="26">"$#REF!.$#REF!$#REF!"</definedName>
    <definedName name="Base_datos_IM" localSheetId="28">"$#REF!.$#REF!$#REF!"</definedName>
    <definedName name="Base_datos_IM" localSheetId="8">"$#REF!.$#REF!$#REF!"</definedName>
    <definedName name="Base_datos_IM">#REF!</definedName>
    <definedName name="CTA" localSheetId="2">"$#REF!.$#REF!#REF!"</definedName>
    <definedName name="CTA" localSheetId="33">#REF!</definedName>
    <definedName name="CTA" localSheetId="39">"$#REF!.$#REF!#REF!"</definedName>
    <definedName name="CTA" localSheetId="36">"$#REF!.$#REF!#REF!"</definedName>
    <definedName name="CTA" localSheetId="3">"$#REF!.$#REF!#REF!"</definedName>
    <definedName name="CTA" localSheetId="20">"$#REF!.$#REF!#REF!"</definedName>
    <definedName name="CTA" localSheetId="18">#REF!</definedName>
    <definedName name="CTA" localSheetId="9">#REF!</definedName>
    <definedName name="CTA" localSheetId="10">#REF!</definedName>
    <definedName name="CTA" localSheetId="25">#REF!</definedName>
    <definedName name="CTA" localSheetId="21">"$#REF!.$#REF!#REF!"</definedName>
    <definedName name="CTA" localSheetId="26">"$#REF!.$#REF!#REF!"</definedName>
    <definedName name="CTA" localSheetId="28">"$#REF!.$#REF!#REF!"</definedName>
    <definedName name="CTA" localSheetId="8">"$#REF!.$#REF!#REF!"</definedName>
    <definedName name="CTA">#REF!</definedName>
    <definedName name="EF" localSheetId="2">"'file://Gerencia/c/Mis documentos/INFORME JUNTA/TEMP/PUNTOS.XLS'#$Puntos.$#REF!$#REF!"</definedName>
    <definedName name="EF" localSheetId="33">#REF!</definedName>
    <definedName name="EF" localSheetId="39">"'file://Gerencia/c/Mis documentos/INFORME JUNTA/TEMP/PUNTOS.XLS'#$Puntos.$#REF!$#REF!"</definedName>
    <definedName name="EF" localSheetId="36">"'file://Gerencia/c/Mis documentos/INFORME JUNTA/TEMP/PUNTOS.XLS'#$Puntos.$#REF!$#REF!"</definedName>
    <definedName name="EF" localSheetId="3">"'file://Gerencia/c/Mis documentos/INFORME JUNTA/TEMP/PUNTOS.XLS'#$Puntos.$#REF!$#REF!"</definedName>
    <definedName name="EF" localSheetId="20">"'file://Gerencia/c/Mis documentos/INFORME JUNTA/TEMP/PUNTOS.XLS'#$Puntos.$#REF!$#REF!"</definedName>
    <definedName name="EF" localSheetId="18">#REF!</definedName>
    <definedName name="EF" localSheetId="9">#REF!</definedName>
    <definedName name="EF" localSheetId="10">#REF!</definedName>
    <definedName name="EF" localSheetId="25">#REF!</definedName>
    <definedName name="EF" localSheetId="21">"'file://Gerencia/c/Mis documentos/INFORME JUNTA/TEMP/PUNTOS.XLS'#$Puntos.$#REF!$#REF!"</definedName>
    <definedName name="EF" localSheetId="26">"'file://Gerencia/c/Mis documentos/INFORME JUNTA/TEMP/PUNTOS.XLS'#$Puntos.$#REF!$#REF!"</definedName>
    <definedName name="EF" localSheetId="28">"'file://Gerencia/c/Mis documentos/INFORME JUNTA/TEMP/PUNTOS.XLS'#$Puntos.$#REF!$#REF!"</definedName>
    <definedName name="EF" localSheetId="8">"'file://Gerencia/c/Mis documentos/INFORME JUNTA/TEMP/PUNTOS.XLS'#$Puntos.$#REF!$#REF!"</definedName>
    <definedName name="EF">#REF!</definedName>
    <definedName name="EFA" localSheetId="2">"'file://Gerencia/c/Mis documentos/INFORME JUNTA/TEMP/PUNTOS.XLS'#$Puntos.$#REF!$#REF!"</definedName>
    <definedName name="EFA" localSheetId="33">#REF!</definedName>
    <definedName name="EFA" localSheetId="39">"'file://Gerencia/c/Mis documentos/INFORME JUNTA/TEMP/PUNTOS.XLS'#$Puntos.$#REF!$#REF!"</definedName>
    <definedName name="EFA" localSheetId="36">"'file://Gerencia/c/Mis documentos/INFORME JUNTA/TEMP/PUNTOS.XLS'#$Puntos.$#REF!$#REF!"</definedName>
    <definedName name="EFA" localSheetId="3">"'file://Gerencia/c/Mis documentos/INFORME JUNTA/TEMP/PUNTOS.XLS'#$Puntos.$#REF!$#REF!"</definedName>
    <definedName name="EFA" localSheetId="20">"'file://Gerencia/c/Mis documentos/INFORME JUNTA/TEMP/PUNTOS.XLS'#$Puntos.$#REF!$#REF!"</definedName>
    <definedName name="EFA" localSheetId="18">#REF!</definedName>
    <definedName name="EFA" localSheetId="9">#REF!</definedName>
    <definedName name="EFA" localSheetId="10">#REF!</definedName>
    <definedName name="EFA" localSheetId="25">#REF!</definedName>
    <definedName name="EFA" localSheetId="21">"'file://Gerencia/c/Mis documentos/INFORME JUNTA/TEMP/PUNTOS.XLS'#$Puntos.$#REF!$#REF!"</definedName>
    <definedName name="EFA" localSheetId="26">"'file://Gerencia/c/Mis documentos/INFORME JUNTA/TEMP/PUNTOS.XLS'#$Puntos.$#REF!$#REF!"</definedName>
    <definedName name="EFA" localSheetId="28">"'file://Gerencia/c/Mis documentos/INFORME JUNTA/TEMP/PUNTOS.XLS'#$Puntos.$#REF!$#REF!"</definedName>
    <definedName name="EFA" localSheetId="8">"'file://Gerencia/c/Mis documentos/INFORME JUNTA/TEMP/PUNTOS.XLS'#$Puntos.$#REF!$#REF!"</definedName>
    <definedName name="EFA">#REF!</definedName>
    <definedName name="ES" localSheetId="2">"'file://Gerencia/c/Mis documentos/INFORME JUNTA/TEMP/PUNTOS.XLS'#$Puntos.$#REF!$#REF!"</definedName>
    <definedName name="ES" localSheetId="33">#REF!</definedName>
    <definedName name="ES" localSheetId="39">"'file://Gerencia/c/Mis documentos/INFORME JUNTA/TEMP/PUNTOS.XLS'#$Puntos.$#REF!$#REF!"</definedName>
    <definedName name="ES" localSheetId="36">"'file://Gerencia/c/Mis documentos/INFORME JUNTA/TEMP/PUNTOS.XLS'#$Puntos.$#REF!$#REF!"</definedName>
    <definedName name="ES" localSheetId="3">"'file://Gerencia/c/Mis documentos/INFORME JUNTA/TEMP/PUNTOS.XLS'#$Puntos.$#REF!$#REF!"</definedName>
    <definedName name="ES" localSheetId="20">"'file://Gerencia/c/Mis documentos/INFORME JUNTA/TEMP/PUNTOS.XLS'#$Puntos.$#REF!$#REF!"</definedName>
    <definedName name="ES" localSheetId="18">#REF!</definedName>
    <definedName name="ES" localSheetId="9">#REF!</definedName>
    <definedName name="ES" localSheetId="10">#REF!</definedName>
    <definedName name="ES" localSheetId="25">#REF!</definedName>
    <definedName name="ES" localSheetId="21">"'file://Gerencia/c/Mis documentos/INFORME JUNTA/TEMP/PUNTOS.XLS'#$Puntos.$#REF!$#REF!"</definedName>
    <definedName name="ES" localSheetId="26">"'file://Gerencia/c/Mis documentos/INFORME JUNTA/TEMP/PUNTOS.XLS'#$Puntos.$#REF!$#REF!"</definedName>
    <definedName name="ES" localSheetId="28">"'file://Gerencia/c/Mis documentos/INFORME JUNTA/TEMP/PUNTOS.XLS'#$Puntos.$#REF!$#REF!"</definedName>
    <definedName name="ES" localSheetId="8">"'file://Gerencia/c/Mis documentos/INFORME JUNTA/TEMP/PUNTOS.XLS'#$Puntos.$#REF!$#REF!"</definedName>
    <definedName name="ES">#REF!</definedName>
    <definedName name="ESA" localSheetId="2">"'file://Gerencia/c/Mis documentos/INFORME JUNTA/TEMP/PUNTOS.XLS'#$Puntos.$#REF!$#REF!"</definedName>
    <definedName name="ESA" localSheetId="33">#REF!</definedName>
    <definedName name="ESA" localSheetId="39">"'file://Gerencia/c/Mis documentos/INFORME JUNTA/TEMP/PUNTOS.XLS'#$Puntos.$#REF!$#REF!"</definedName>
    <definedName name="ESA" localSheetId="36">"'file://Gerencia/c/Mis documentos/INFORME JUNTA/TEMP/PUNTOS.XLS'#$Puntos.$#REF!$#REF!"</definedName>
    <definedName name="ESA" localSheetId="3">"'file://Gerencia/c/Mis documentos/INFORME JUNTA/TEMP/PUNTOS.XLS'#$Puntos.$#REF!$#REF!"</definedName>
    <definedName name="ESA" localSheetId="20">"'file://Gerencia/c/Mis documentos/INFORME JUNTA/TEMP/PUNTOS.XLS'#$Puntos.$#REF!$#REF!"</definedName>
    <definedName name="ESA" localSheetId="18">#REF!</definedName>
    <definedName name="ESA" localSheetId="9">#REF!</definedName>
    <definedName name="ESA" localSheetId="10">#REF!</definedName>
    <definedName name="ESA" localSheetId="25">#REF!</definedName>
    <definedName name="ESA" localSheetId="21">"'file://Gerencia/c/Mis documentos/INFORME JUNTA/TEMP/PUNTOS.XLS'#$Puntos.$#REF!$#REF!"</definedName>
    <definedName name="ESA" localSheetId="26">"'file://Gerencia/c/Mis documentos/INFORME JUNTA/TEMP/PUNTOS.XLS'#$Puntos.$#REF!$#REF!"</definedName>
    <definedName name="ESA" localSheetId="28">"'file://Gerencia/c/Mis documentos/INFORME JUNTA/TEMP/PUNTOS.XLS'#$Puntos.$#REF!$#REF!"</definedName>
    <definedName name="ESA" localSheetId="8">"'file://Gerencia/c/Mis documentos/INFORME JUNTA/TEMP/PUNTOS.XLS'#$Puntos.$#REF!$#REF!"</definedName>
    <definedName name="ESA">#REF!</definedName>
    <definedName name="ET" localSheetId="33">#REF!</definedName>
    <definedName name="ET" localSheetId="36">#REF!</definedName>
    <definedName name="ET" localSheetId="20">#REF!</definedName>
    <definedName name="ET" localSheetId="25">#REF!</definedName>
    <definedName name="ET" localSheetId="26">#REF!</definedName>
    <definedName name="ET" localSheetId="28">#REF!</definedName>
    <definedName name="ET">#REF!</definedName>
    <definedName name="Excel_BuiltIn_Database" localSheetId="2">"$#REF!.$#REF!$#REF!"</definedName>
    <definedName name="Excel_BuiltIn_Database" localSheetId="33">#REF!</definedName>
    <definedName name="Excel_BuiltIn_Database" localSheetId="39">"$#REF!.$#REF!$#REF!"</definedName>
    <definedName name="Excel_BuiltIn_Database" localSheetId="36">"$#REF!.$#REF!$#REF!"</definedName>
    <definedName name="Excel_BuiltIn_Database" localSheetId="3">"$#REF!.$#REF!$#REF!"</definedName>
    <definedName name="Excel_BuiltIn_Database" localSheetId="20">"$#REF!.$#REF!$#REF!"</definedName>
    <definedName name="Excel_BuiltIn_Database" localSheetId="18">#REF!</definedName>
    <definedName name="Excel_BuiltIn_Database" localSheetId="9">#REF!</definedName>
    <definedName name="Excel_BuiltIn_Database" localSheetId="10">#REF!</definedName>
    <definedName name="Excel_BuiltIn_Database" localSheetId="25">#REF!</definedName>
    <definedName name="Excel_BuiltIn_Database" localSheetId="21">"$#REF!.$#REF!$#REF!"</definedName>
    <definedName name="Excel_BuiltIn_Database" localSheetId="26">"$#REF!.$#REF!$#REF!"</definedName>
    <definedName name="Excel_BuiltIn_Database" localSheetId="28">"$#REF!.$#REF!$#REF!"</definedName>
    <definedName name="Excel_BuiltIn_Database" localSheetId="8">"$#REF!.$#REF!$#REF!"</definedName>
    <definedName name="Excel_BuiltIn_Database">#REF!</definedName>
    <definedName name="Excel_BuiltIn_Extract" localSheetId="2">"$#REF!.$#REF!$#REF!"</definedName>
    <definedName name="Excel_BuiltIn_Extract" localSheetId="33">#REF!</definedName>
    <definedName name="Excel_BuiltIn_Extract" localSheetId="39">"$#REF!.$#REF!$#REF!"</definedName>
    <definedName name="Excel_BuiltIn_Extract" localSheetId="36">"$#REF!.$#REF!$#REF!"</definedName>
    <definedName name="Excel_BuiltIn_Extract" localSheetId="3">"$#REF!.$#REF!$#REF!"</definedName>
    <definedName name="Excel_BuiltIn_Extract" localSheetId="20">"$#REF!.$#REF!$#REF!"</definedName>
    <definedName name="Excel_BuiltIn_Extract" localSheetId="18">#REF!</definedName>
    <definedName name="Excel_BuiltIn_Extract" localSheetId="9">#REF!</definedName>
    <definedName name="Excel_BuiltIn_Extract" localSheetId="10">#REF!</definedName>
    <definedName name="Excel_BuiltIn_Extract" localSheetId="25">#REF!</definedName>
    <definedName name="Excel_BuiltIn_Extract" localSheetId="21">"$#REF!.$#REF!$#REF!"</definedName>
    <definedName name="Excel_BuiltIn_Extract" localSheetId="26">"$#REF!.$#REF!$#REF!"</definedName>
    <definedName name="Excel_BuiltIn_Extract" localSheetId="28">"$#REF!.$#REF!$#REF!"</definedName>
    <definedName name="Excel_BuiltIn_Extract" localSheetId="8">"$#REF!.$#REF!$#REF!"</definedName>
    <definedName name="Excel_BuiltIn_Extract">#REF!</definedName>
    <definedName name="Excel_BuiltIn_Print_Area_4">"$#REF!.$#REF!$#REF!:$#REF!$#REF!"</definedName>
    <definedName name="Excel_BuiltIn_Print_Area_5">"$#REF!.$#REF!$#REF!:$#REF!$#REF!"</definedName>
    <definedName name="Excel_BuiltIn_Print_Area_6">"$#REF!.$#REF!$#REF!:$#REF!$#REF!"</definedName>
    <definedName name="Excel_BuiltIn_Print_Area_7">"$#REF!.$#REF!$#REF!:$#REF!$#REF!"</definedName>
    <definedName name="Excel_BuiltIn_Print_Area_9">"$#REF!.$A$3:$N$73"</definedName>
    <definedName name="Excel_BuiltIn_Print_Titles_4">"$#REF!.$A$3:$A$65536"</definedName>
    <definedName name="Excel_BuiltIn_Print_Titles_5">"$#REF!.$A$3:$A$65536"</definedName>
    <definedName name="Excel_BuiltIn_Print_Titles_6">"$#REF!.$A$3:$A$65536"</definedName>
    <definedName name="Excel_BuiltIn_Print_Titles_7">"$#REF!.$A$3:$A$65536"</definedName>
    <definedName name="Excel_BuiltIn_Print_Titles_9">"$#REF!.$A$3:$A$65536"</definedName>
    <definedName name="Extracción_IM" localSheetId="2">"$#REF!.$#REF!$#REF!"</definedName>
    <definedName name="Extracción_IM" localSheetId="33">#REF!</definedName>
    <definedName name="Extracción_IM" localSheetId="39">"$#REF!.$#REF!$#REF!"</definedName>
    <definedName name="Extracción_IM" localSheetId="36">"$#REF!.$#REF!$#REF!"</definedName>
    <definedName name="Extracción_IM" localSheetId="3">"$#REF!.$#REF!$#REF!"</definedName>
    <definedName name="Extracción_IM" localSheetId="20">"$#REF!.$#REF!$#REF!"</definedName>
    <definedName name="Extracción_IM" localSheetId="18">#REF!</definedName>
    <definedName name="Extracción_IM" localSheetId="9">#REF!</definedName>
    <definedName name="Extracción_IM" localSheetId="10">#REF!</definedName>
    <definedName name="Extracción_IM" localSheetId="25">#REF!</definedName>
    <definedName name="Extracción_IM" localSheetId="21">"$#REF!.$#REF!$#REF!"</definedName>
    <definedName name="Extracción_IM" localSheetId="26">"$#REF!.$#REF!$#REF!"</definedName>
    <definedName name="Extracción_IM" localSheetId="28">"$#REF!.$#REF!$#REF!"</definedName>
    <definedName name="Extracción_IM" localSheetId="8">"$#REF!.$#REF!$#REF!"</definedName>
    <definedName name="Extracción_IM">#REF!</definedName>
    <definedName name="MES" localSheetId="33">#REF!</definedName>
    <definedName name="MES" localSheetId="36">#REF!</definedName>
    <definedName name="MES" localSheetId="20">#REF!</definedName>
    <definedName name="MES" localSheetId="18">#REF!</definedName>
    <definedName name="MES" localSheetId="10">#REF!</definedName>
    <definedName name="MES" localSheetId="25">#REF!</definedName>
    <definedName name="MES" localSheetId="26">#REF!</definedName>
    <definedName name="MES" localSheetId="28">#REF!</definedName>
    <definedName name="MES">#REF!</definedName>
    <definedName name="OD" localSheetId="2">"'file://Gerencia/c/Mis documentos/INFORME JUNTA/TEMP/PUNTOS.XLS'#$Puntos.$#REF!$#REF!"</definedName>
    <definedName name="OD" localSheetId="33">#REF!</definedName>
    <definedName name="OD" localSheetId="39">"'file://Gerencia/c/Mis documentos/INFORME JUNTA/TEMP/PUNTOS.XLS'#$Puntos.$#REF!$#REF!"</definedName>
    <definedName name="OD" localSheetId="36">"'file://Gerencia/c/Mis documentos/INFORME JUNTA/TEMP/PUNTOS.XLS'#$Puntos.$#REF!$#REF!"</definedName>
    <definedName name="OD" localSheetId="3">"'file://Gerencia/c/Mis documentos/INFORME JUNTA/TEMP/PUNTOS.XLS'#$Puntos.$#REF!$#REF!"</definedName>
    <definedName name="OD" localSheetId="20">"'file://Gerencia/c/Mis documentos/INFORME JUNTA/TEMP/PUNTOS.XLS'#$Puntos.$#REF!$#REF!"</definedName>
    <definedName name="OD" localSheetId="18">#REF!</definedName>
    <definedName name="OD" localSheetId="9">#REF!</definedName>
    <definedName name="OD" localSheetId="10">#REF!</definedName>
    <definedName name="OD" localSheetId="25">#REF!</definedName>
    <definedName name="OD" localSheetId="21">"'file://Gerencia/c/Mis documentos/INFORME JUNTA/TEMP/PUNTOS.XLS'#$Puntos.$#REF!$#REF!"</definedName>
    <definedName name="OD" localSheetId="26">"'file://Gerencia/c/Mis documentos/INFORME JUNTA/TEMP/PUNTOS.XLS'#$Puntos.$#REF!$#REF!"</definedName>
    <definedName name="OD" localSheetId="28">"'file://Gerencia/c/Mis documentos/INFORME JUNTA/TEMP/PUNTOS.XLS'#$Puntos.$#REF!$#REF!"</definedName>
    <definedName name="OD" localSheetId="8">"'file://Gerencia/c/Mis documentos/INFORME JUNTA/TEMP/PUNTOS.XLS'#$Puntos.$#REF!$#REF!"</definedName>
    <definedName name="OD">#REF!</definedName>
    <definedName name="PCT" localSheetId="2">"'file://Gerencia/c/Mis documentos/INFORME JUNTA/TEMP/PUNTOS.XLS'#$Puntos.$#REF!$#REF!"</definedName>
    <definedName name="PCT" localSheetId="33">#REF!</definedName>
    <definedName name="PCT" localSheetId="39">"'file://Gerencia/c/Mis documentos/INFORME JUNTA/TEMP/PUNTOS.XLS'#$Puntos.$#REF!$#REF!"</definedName>
    <definedName name="PCT" localSheetId="36">"'file://Gerencia/c/Mis documentos/INFORME JUNTA/TEMP/PUNTOS.XLS'#$Puntos.$#REF!$#REF!"</definedName>
    <definedName name="PCT" localSheetId="3">"'file://Gerencia/c/Mis documentos/INFORME JUNTA/TEMP/PUNTOS.XLS'#$Puntos.$#REF!$#REF!"</definedName>
    <definedName name="PCT" localSheetId="20">"'file://Gerencia/c/Mis documentos/INFORME JUNTA/TEMP/PUNTOS.XLS'#$Puntos.$#REF!$#REF!"</definedName>
    <definedName name="PCT" localSheetId="18">#REF!</definedName>
    <definedName name="PCT" localSheetId="9">#REF!</definedName>
    <definedName name="PCT" localSheetId="10">#REF!</definedName>
    <definedName name="PCT" localSheetId="25">#REF!</definedName>
    <definedName name="PCT" localSheetId="21">"'file://Gerencia/c/Mis documentos/INFORME JUNTA/TEMP/PUNTOS.XLS'#$Puntos.$#REF!$#REF!"</definedName>
    <definedName name="PCT" localSheetId="26">"'file://Gerencia/c/Mis documentos/INFORME JUNTA/TEMP/PUNTOS.XLS'#$Puntos.$#REF!$#REF!"</definedName>
    <definedName name="PCT" localSheetId="28">"'file://Gerencia/c/Mis documentos/INFORME JUNTA/TEMP/PUNTOS.XLS'#$Puntos.$#REF!$#REF!"</definedName>
    <definedName name="PCT" localSheetId="8">"'file://Gerencia/c/Mis documentos/INFORME JUNTA/TEMP/PUNTOS.XLS'#$Puntos.$#REF!$#REF!"</definedName>
    <definedName name="PCT">#REF!</definedName>
    <definedName name="SAD" localSheetId="33">#REF!</definedName>
    <definedName name="SAD" localSheetId="25">#REF!</definedName>
    <definedName name="SAD" localSheetId="26">#REF!</definedName>
    <definedName name="SAD" localSheetId="28">#REF!</definedName>
    <definedName name="SAD">#REF!</definedName>
    <definedName name="TCA" localSheetId="33">#REF!</definedName>
    <definedName name="TCA" localSheetId="36">#REF!</definedName>
    <definedName name="TCA" localSheetId="25">#REF!</definedName>
    <definedName name="TCA" localSheetId="26">#REF!</definedName>
    <definedName name="TCA" localSheetId="28">#REF!</definedName>
    <definedName name="TCA">#REF!</definedName>
    <definedName name="TITLE" localSheetId="2">"'file://Gerencia/c/Mis documentos/INFORME JUNTA/TEMP/PUNTOS.XLS'#$Puntos.$#REF!$#REF!"</definedName>
    <definedName name="TITLE" localSheetId="33">#REF!</definedName>
    <definedName name="TITLE" localSheetId="39">"'file://Gerencia/c/Mis documentos/INFORME JUNTA/TEMP/PUNTOS.XLS'#$Puntos.$#REF!$#REF!"</definedName>
    <definedName name="TITLE" localSheetId="36">"'file://Gerencia/c/Mis documentos/INFORME JUNTA/TEMP/PUNTOS.XLS'#$Puntos.$#REF!$#REF!"</definedName>
    <definedName name="TITLE" localSheetId="3">"'file://Gerencia/c/Mis documentos/INFORME JUNTA/TEMP/PUNTOS.XLS'#$Puntos.$#REF!$#REF!"</definedName>
    <definedName name="TITLE" localSheetId="20">"'file://Gerencia/c/Mis documentos/INFORME JUNTA/TEMP/PUNTOS.XLS'#$Puntos.$#REF!$#REF!"</definedName>
    <definedName name="TITLE" localSheetId="18">#REF!</definedName>
    <definedName name="TITLE" localSheetId="9">#REF!</definedName>
    <definedName name="TITLE" localSheetId="10">#REF!</definedName>
    <definedName name="TITLE" localSheetId="25">#REF!</definedName>
    <definedName name="TITLE" localSheetId="21">"'file://Gerencia/c/Mis documentos/INFORME JUNTA/TEMP/PUNTOS.XLS'#$Puntos.$#REF!$#REF!"</definedName>
    <definedName name="TITLE" localSheetId="26">"'file://Gerencia/c/Mis documentos/INFORME JUNTA/TEMP/PUNTOS.XLS'#$Puntos.$#REF!$#REF!"</definedName>
    <definedName name="TITLE" localSheetId="28">"'file://Gerencia/c/Mis documentos/INFORME JUNTA/TEMP/PUNTOS.XLS'#$Puntos.$#REF!$#REF!"</definedName>
    <definedName name="TITLE" localSheetId="8">"'file://Gerencia/c/Mis documentos/INFORME JUNTA/TEMP/PUNTOS.XLS'#$Puntos.$#REF!$#REF!"</definedName>
    <definedName name="TITLE">#REF!</definedName>
    <definedName name="_xlnm.Print_Titles" localSheetId="2">'BALANCE AÑO ANTERIOR'!$1:$5</definedName>
    <definedName name="_xlnm.Print_Titles" localSheetId="39">'consolidado if sas 2016'!$1:$3</definedName>
    <definedName name="_xlnm.Print_Titles" localSheetId="21">'PRESUPUESTO 2014'!$1:$5</definedName>
    <definedName name="_xlnm.Print_Titles" localSheetId="26">'Presupuesto_2015_ Ajustado2 (2'!$1:$5</definedName>
    <definedName name="_xlnm.Print_Titles" localSheetId="28">'Presupuesto_2015_ Ajustado2 (2)'!$1:$5</definedName>
    <definedName name="_xlnm.Print_Titles" localSheetId="8">'PYGCOM-CON AÑO ANTERIOR '!$1:$5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7" i="153" l="1"/>
  <c r="D49" i="152"/>
  <c r="B6" i="157" l="1"/>
  <c r="D76" i="152"/>
  <c r="D66" i="152"/>
  <c r="D75" i="152"/>
  <c r="B52" i="157"/>
  <c r="B57" i="157"/>
  <c r="G76" i="162"/>
  <c r="G34" i="162"/>
  <c r="G55" i="162" l="1"/>
  <c r="G16" i="162"/>
  <c r="G39" i="162" l="1"/>
  <c r="F75" i="162"/>
  <c r="D41" i="162" l="1"/>
  <c r="H77" i="162" l="1"/>
  <c r="C10" i="154" l="1"/>
  <c r="C9" i="154"/>
  <c r="C7" i="154"/>
  <c r="I444" i="149"/>
  <c r="J444" i="149"/>
  <c r="I445" i="149"/>
  <c r="J445" i="149"/>
  <c r="I446" i="149"/>
  <c r="J446" i="149"/>
  <c r="I447" i="149"/>
  <c r="J447" i="149"/>
  <c r="I448" i="149"/>
  <c r="J448" i="149"/>
  <c r="I449" i="149"/>
  <c r="J449" i="149"/>
  <c r="I450" i="149"/>
  <c r="J450" i="149"/>
  <c r="I451" i="149"/>
  <c r="J451" i="149"/>
  <c r="I452" i="149"/>
  <c r="J452" i="149"/>
  <c r="I453" i="149"/>
  <c r="J453" i="149"/>
  <c r="I454" i="149"/>
  <c r="J454" i="149"/>
  <c r="I455" i="149"/>
  <c r="J455" i="149"/>
  <c r="I456" i="149"/>
  <c r="J456" i="149"/>
  <c r="I457" i="149"/>
  <c r="J457" i="149"/>
  <c r="I458" i="149"/>
  <c r="J458" i="149"/>
  <c r="I459" i="149"/>
  <c r="J459" i="149"/>
  <c r="I460" i="149"/>
  <c r="J460" i="149"/>
  <c r="I461" i="149"/>
  <c r="J461" i="149"/>
  <c r="I462" i="149"/>
  <c r="J462" i="149"/>
  <c r="I463" i="149"/>
  <c r="J463" i="149"/>
  <c r="I464" i="149"/>
  <c r="J464" i="149"/>
  <c r="I465" i="149"/>
  <c r="J465" i="149"/>
  <c r="I466" i="149"/>
  <c r="J466" i="149"/>
  <c r="I467" i="149"/>
  <c r="J467" i="149"/>
  <c r="I468" i="149"/>
  <c r="J468" i="149"/>
  <c r="I469" i="149"/>
  <c r="J469" i="149"/>
  <c r="I470" i="149"/>
  <c r="J470" i="149"/>
  <c r="I471" i="149"/>
  <c r="J471" i="149"/>
  <c r="I472" i="149"/>
  <c r="J472" i="149"/>
  <c r="I473" i="149"/>
  <c r="J473" i="149"/>
  <c r="I474" i="149"/>
  <c r="J474" i="149"/>
  <c r="I475" i="149"/>
  <c r="J475" i="149"/>
  <c r="I476" i="149"/>
  <c r="J476" i="149"/>
  <c r="I477" i="149"/>
  <c r="J477" i="149"/>
  <c r="I478" i="149"/>
  <c r="J478" i="149"/>
  <c r="I479" i="149"/>
  <c r="J479" i="149"/>
  <c r="I480" i="149"/>
  <c r="J480" i="149"/>
  <c r="I481" i="149"/>
  <c r="J481" i="149"/>
  <c r="I482" i="149"/>
  <c r="J482" i="149"/>
  <c r="I483" i="149"/>
  <c r="J483" i="149"/>
  <c r="I484" i="149"/>
  <c r="J484" i="149"/>
  <c r="I485" i="149"/>
  <c r="J485" i="149"/>
  <c r="I486" i="149"/>
  <c r="J486" i="149"/>
  <c r="I487" i="149"/>
  <c r="J487" i="149"/>
  <c r="I488" i="149"/>
  <c r="J488" i="149"/>
  <c r="I489" i="149"/>
  <c r="J489" i="149"/>
  <c r="I490" i="149"/>
  <c r="J490" i="149"/>
  <c r="I491" i="149"/>
  <c r="J491" i="149"/>
  <c r="I492" i="149"/>
  <c r="J492" i="149"/>
  <c r="I493" i="149"/>
  <c r="J493" i="149"/>
  <c r="I494" i="149"/>
  <c r="J494" i="149"/>
  <c r="I495" i="149"/>
  <c r="J495" i="149"/>
  <c r="I496" i="149"/>
  <c r="J496" i="149"/>
  <c r="I497" i="149"/>
  <c r="J497" i="149"/>
  <c r="I498" i="149"/>
  <c r="J498" i="149"/>
  <c r="I499" i="149"/>
  <c r="J499" i="149"/>
  <c r="I500" i="149"/>
  <c r="J500" i="149"/>
  <c r="I501" i="149"/>
  <c r="J501" i="149"/>
  <c r="I502" i="149"/>
  <c r="J502" i="149"/>
  <c r="I385" i="149"/>
  <c r="J385" i="149"/>
  <c r="I386" i="149"/>
  <c r="J386" i="149"/>
  <c r="I387" i="149"/>
  <c r="J387" i="149"/>
  <c r="I388" i="149"/>
  <c r="J388" i="149"/>
  <c r="I389" i="149"/>
  <c r="J389" i="149"/>
  <c r="I390" i="149"/>
  <c r="J390" i="149"/>
  <c r="I391" i="149"/>
  <c r="J391" i="149"/>
  <c r="I392" i="149"/>
  <c r="J392" i="149"/>
  <c r="I393" i="149"/>
  <c r="J393" i="149"/>
  <c r="I394" i="149"/>
  <c r="J394" i="149"/>
  <c r="I395" i="149"/>
  <c r="J395" i="149"/>
  <c r="I396" i="149"/>
  <c r="J396" i="149"/>
  <c r="I397" i="149"/>
  <c r="J397" i="149"/>
  <c r="I398" i="149"/>
  <c r="J398" i="149"/>
  <c r="I399" i="149"/>
  <c r="J399" i="149"/>
  <c r="I400" i="149"/>
  <c r="J400" i="149"/>
  <c r="I401" i="149"/>
  <c r="J401" i="149"/>
  <c r="I402" i="149"/>
  <c r="J402" i="149"/>
  <c r="I403" i="149"/>
  <c r="J403" i="149"/>
  <c r="I404" i="149"/>
  <c r="J404" i="149"/>
  <c r="I405" i="149"/>
  <c r="J405" i="149"/>
  <c r="I406" i="149"/>
  <c r="J406" i="149"/>
  <c r="I407" i="149"/>
  <c r="J407" i="149"/>
  <c r="I408" i="149"/>
  <c r="J408" i="149"/>
  <c r="I409" i="149"/>
  <c r="J409" i="149"/>
  <c r="I410" i="149"/>
  <c r="J410" i="149"/>
  <c r="I411" i="149"/>
  <c r="J411" i="149"/>
  <c r="I412" i="149"/>
  <c r="J412" i="149"/>
  <c r="I413" i="149"/>
  <c r="J413" i="149"/>
  <c r="I414" i="149"/>
  <c r="J414" i="149"/>
  <c r="I415" i="149"/>
  <c r="J415" i="149"/>
  <c r="I416" i="149"/>
  <c r="J416" i="149"/>
  <c r="I417" i="149"/>
  <c r="J417" i="149"/>
  <c r="I418" i="149"/>
  <c r="J418" i="149"/>
  <c r="I419" i="149"/>
  <c r="J419" i="149"/>
  <c r="I420" i="149"/>
  <c r="J420" i="149"/>
  <c r="I421" i="149"/>
  <c r="J421" i="149"/>
  <c r="I422" i="149"/>
  <c r="J422" i="149"/>
  <c r="I423" i="149"/>
  <c r="J423" i="149"/>
  <c r="I424" i="149"/>
  <c r="J424" i="149"/>
  <c r="I425" i="149"/>
  <c r="J425" i="149"/>
  <c r="I426" i="149"/>
  <c r="J426" i="149"/>
  <c r="I427" i="149"/>
  <c r="J427" i="149"/>
  <c r="I428" i="149"/>
  <c r="J428" i="149"/>
  <c r="I429" i="149"/>
  <c r="J429" i="149"/>
  <c r="I430" i="149"/>
  <c r="J430" i="149"/>
  <c r="I431" i="149"/>
  <c r="J431" i="149"/>
  <c r="I432" i="149"/>
  <c r="J432" i="149"/>
  <c r="I433" i="149"/>
  <c r="J433" i="149"/>
  <c r="I434" i="149"/>
  <c r="J434" i="149"/>
  <c r="I435" i="149"/>
  <c r="J435" i="149"/>
  <c r="I436" i="149"/>
  <c r="J436" i="149"/>
  <c r="I437" i="149"/>
  <c r="J437" i="149"/>
  <c r="I438" i="149"/>
  <c r="J438" i="149"/>
  <c r="I439" i="149"/>
  <c r="J439" i="149"/>
  <c r="I440" i="149"/>
  <c r="J440" i="149"/>
  <c r="I441" i="149"/>
  <c r="J441" i="149"/>
  <c r="I442" i="149"/>
  <c r="J442" i="149"/>
  <c r="I443" i="149"/>
  <c r="J443" i="149"/>
  <c r="I315" i="149"/>
  <c r="J315" i="149"/>
  <c r="I316" i="149"/>
  <c r="J316" i="149"/>
  <c r="I317" i="149"/>
  <c r="J317" i="149"/>
  <c r="I318" i="149"/>
  <c r="J318" i="149"/>
  <c r="I319" i="149"/>
  <c r="J319" i="149"/>
  <c r="I320" i="149"/>
  <c r="J320" i="149"/>
  <c r="I321" i="149"/>
  <c r="J321" i="149"/>
  <c r="I322" i="149"/>
  <c r="J322" i="149"/>
  <c r="I323" i="149"/>
  <c r="J323" i="149"/>
  <c r="I324" i="149"/>
  <c r="J324" i="149"/>
  <c r="I325" i="149"/>
  <c r="J325" i="149"/>
  <c r="I326" i="149"/>
  <c r="J326" i="149"/>
  <c r="I327" i="149"/>
  <c r="J327" i="149"/>
  <c r="I328" i="149"/>
  <c r="J328" i="149"/>
  <c r="I329" i="149"/>
  <c r="J329" i="149"/>
  <c r="I330" i="149"/>
  <c r="J330" i="149"/>
  <c r="I331" i="149"/>
  <c r="J331" i="149"/>
  <c r="I332" i="149"/>
  <c r="J332" i="149"/>
  <c r="I333" i="149"/>
  <c r="J333" i="149"/>
  <c r="I334" i="149"/>
  <c r="J334" i="149"/>
  <c r="I335" i="149"/>
  <c r="J335" i="149"/>
  <c r="I336" i="149"/>
  <c r="J336" i="149"/>
  <c r="I337" i="149"/>
  <c r="J337" i="149"/>
  <c r="I338" i="149"/>
  <c r="J338" i="149"/>
  <c r="I339" i="149"/>
  <c r="J339" i="149"/>
  <c r="I340" i="149"/>
  <c r="J340" i="149"/>
  <c r="I341" i="149"/>
  <c r="J341" i="149"/>
  <c r="I342" i="149"/>
  <c r="J342" i="149"/>
  <c r="I343" i="149"/>
  <c r="J343" i="149"/>
  <c r="I344" i="149"/>
  <c r="J344" i="149"/>
  <c r="I345" i="149"/>
  <c r="J345" i="149"/>
  <c r="I346" i="149"/>
  <c r="J346" i="149"/>
  <c r="I347" i="149"/>
  <c r="J347" i="149"/>
  <c r="I348" i="149"/>
  <c r="J348" i="149"/>
  <c r="I349" i="149"/>
  <c r="J349" i="149"/>
  <c r="I350" i="149"/>
  <c r="J350" i="149"/>
  <c r="I351" i="149"/>
  <c r="J351" i="149"/>
  <c r="I352" i="149"/>
  <c r="J352" i="149"/>
  <c r="I353" i="149"/>
  <c r="J353" i="149"/>
  <c r="I354" i="149"/>
  <c r="J354" i="149"/>
  <c r="I355" i="149"/>
  <c r="J355" i="149"/>
  <c r="I356" i="149"/>
  <c r="J356" i="149"/>
  <c r="I357" i="149"/>
  <c r="J357" i="149"/>
  <c r="I358" i="149"/>
  <c r="J358" i="149"/>
  <c r="I359" i="149"/>
  <c r="J359" i="149"/>
  <c r="I360" i="149"/>
  <c r="J360" i="149"/>
  <c r="I361" i="149"/>
  <c r="J361" i="149"/>
  <c r="I362" i="149"/>
  <c r="J362" i="149"/>
  <c r="I363" i="149"/>
  <c r="J363" i="149"/>
  <c r="I364" i="149"/>
  <c r="J364" i="149"/>
  <c r="I365" i="149"/>
  <c r="J365" i="149"/>
  <c r="I366" i="149"/>
  <c r="J366" i="149"/>
  <c r="I367" i="149"/>
  <c r="J367" i="149"/>
  <c r="I368" i="149"/>
  <c r="J368" i="149"/>
  <c r="I369" i="149"/>
  <c r="J369" i="149"/>
  <c r="I370" i="149"/>
  <c r="J370" i="149"/>
  <c r="I371" i="149"/>
  <c r="J371" i="149"/>
  <c r="I372" i="149"/>
  <c r="J372" i="149"/>
  <c r="I373" i="149"/>
  <c r="J373" i="149"/>
  <c r="I374" i="149"/>
  <c r="J374" i="149"/>
  <c r="I375" i="149"/>
  <c r="J375" i="149"/>
  <c r="I376" i="149"/>
  <c r="J376" i="149"/>
  <c r="I377" i="149"/>
  <c r="J377" i="149"/>
  <c r="I378" i="149"/>
  <c r="J378" i="149"/>
  <c r="I379" i="149"/>
  <c r="J379" i="149"/>
  <c r="I380" i="149"/>
  <c r="J380" i="149"/>
  <c r="I381" i="149"/>
  <c r="J381" i="149"/>
  <c r="I382" i="149"/>
  <c r="J382" i="149"/>
  <c r="I383" i="149"/>
  <c r="J383" i="149"/>
  <c r="I384" i="149"/>
  <c r="J384" i="149"/>
  <c r="I300" i="149"/>
  <c r="J300" i="149"/>
  <c r="I301" i="149"/>
  <c r="J301" i="149"/>
  <c r="I302" i="149"/>
  <c r="J302" i="149"/>
  <c r="I303" i="149"/>
  <c r="J303" i="149"/>
  <c r="I304" i="149"/>
  <c r="J304" i="149"/>
  <c r="I305" i="149"/>
  <c r="J305" i="149"/>
  <c r="I306" i="149"/>
  <c r="J306" i="149"/>
  <c r="I307" i="149"/>
  <c r="J307" i="149"/>
  <c r="I308" i="149"/>
  <c r="J308" i="149"/>
  <c r="I309" i="149"/>
  <c r="J309" i="149"/>
  <c r="I310" i="149"/>
  <c r="J310" i="149"/>
  <c r="I311" i="149"/>
  <c r="J311" i="149"/>
  <c r="I312" i="149"/>
  <c r="J312" i="149"/>
  <c r="I313" i="149"/>
  <c r="J313" i="149"/>
  <c r="I314" i="149"/>
  <c r="J314" i="149"/>
  <c r="I280" i="149"/>
  <c r="J280" i="149"/>
  <c r="I281" i="149"/>
  <c r="J281" i="149"/>
  <c r="I282" i="149"/>
  <c r="J282" i="149"/>
  <c r="I283" i="149"/>
  <c r="J283" i="149"/>
  <c r="I284" i="149"/>
  <c r="J284" i="149"/>
  <c r="I285" i="149"/>
  <c r="J285" i="149"/>
  <c r="I286" i="149"/>
  <c r="J286" i="149"/>
  <c r="I287" i="149"/>
  <c r="J287" i="149"/>
  <c r="I288" i="149"/>
  <c r="J288" i="149"/>
  <c r="I289" i="149"/>
  <c r="J289" i="149"/>
  <c r="I290" i="149"/>
  <c r="J290" i="149"/>
  <c r="I291" i="149"/>
  <c r="J291" i="149"/>
  <c r="I292" i="149"/>
  <c r="J292" i="149"/>
  <c r="I293" i="149"/>
  <c r="J293" i="149"/>
  <c r="I294" i="149"/>
  <c r="J294" i="149"/>
  <c r="I295" i="149"/>
  <c r="J295" i="149"/>
  <c r="I296" i="149"/>
  <c r="J296" i="149"/>
  <c r="I297" i="149"/>
  <c r="J297" i="149"/>
  <c r="I298" i="149"/>
  <c r="J298" i="149"/>
  <c r="I299" i="149"/>
  <c r="J299" i="149"/>
  <c r="I269" i="149"/>
  <c r="J269" i="149"/>
  <c r="I270" i="149"/>
  <c r="J270" i="149"/>
  <c r="I271" i="149"/>
  <c r="J271" i="149"/>
  <c r="I272" i="149"/>
  <c r="J272" i="149"/>
  <c r="I273" i="149"/>
  <c r="J273" i="149"/>
  <c r="I274" i="149"/>
  <c r="J274" i="149"/>
  <c r="I275" i="149"/>
  <c r="J275" i="149"/>
  <c r="I276" i="149"/>
  <c r="J276" i="149"/>
  <c r="I277" i="149"/>
  <c r="J277" i="149"/>
  <c r="I278" i="149"/>
  <c r="J278" i="149"/>
  <c r="I279" i="149"/>
  <c r="J279" i="149"/>
  <c r="I267" i="149"/>
  <c r="J267" i="149"/>
  <c r="I268" i="149"/>
  <c r="J268" i="149"/>
  <c r="I266" i="149"/>
  <c r="J266" i="149"/>
  <c r="I246" i="149"/>
  <c r="J246" i="149"/>
  <c r="I247" i="149"/>
  <c r="J247" i="149"/>
  <c r="I248" i="149"/>
  <c r="J248" i="149"/>
  <c r="I249" i="149"/>
  <c r="J249" i="149"/>
  <c r="I250" i="149"/>
  <c r="J250" i="149"/>
  <c r="I251" i="149"/>
  <c r="J251" i="149"/>
  <c r="I252" i="149"/>
  <c r="J252" i="149"/>
  <c r="I253" i="149"/>
  <c r="J253" i="149"/>
  <c r="I254" i="149"/>
  <c r="J254" i="149"/>
  <c r="I255" i="149"/>
  <c r="J255" i="149"/>
  <c r="I256" i="149"/>
  <c r="J256" i="149"/>
  <c r="I257" i="149"/>
  <c r="J257" i="149"/>
  <c r="I258" i="149"/>
  <c r="J258" i="149"/>
  <c r="I259" i="149"/>
  <c r="J259" i="149"/>
  <c r="I260" i="149"/>
  <c r="J260" i="149"/>
  <c r="I261" i="149"/>
  <c r="J261" i="149"/>
  <c r="I262" i="149"/>
  <c r="J262" i="149"/>
  <c r="I263" i="149"/>
  <c r="J263" i="149"/>
  <c r="I264" i="149"/>
  <c r="J264" i="149"/>
  <c r="I265" i="149"/>
  <c r="J265" i="149"/>
  <c r="I232" i="149"/>
  <c r="J232" i="149"/>
  <c r="I233" i="149"/>
  <c r="J233" i="149"/>
  <c r="I234" i="149"/>
  <c r="J234" i="149"/>
  <c r="I235" i="149"/>
  <c r="J235" i="149"/>
  <c r="I236" i="149"/>
  <c r="J236" i="149"/>
  <c r="I237" i="149"/>
  <c r="J237" i="149"/>
  <c r="I238" i="149"/>
  <c r="J238" i="149"/>
  <c r="I239" i="149"/>
  <c r="J239" i="149"/>
  <c r="I240" i="149"/>
  <c r="J240" i="149"/>
  <c r="I241" i="149"/>
  <c r="J241" i="149"/>
  <c r="I242" i="149"/>
  <c r="J242" i="149"/>
  <c r="I243" i="149"/>
  <c r="J243" i="149"/>
  <c r="I244" i="149"/>
  <c r="J244" i="149"/>
  <c r="I245" i="149"/>
  <c r="J245" i="149"/>
  <c r="I171" i="149"/>
  <c r="J171" i="149"/>
  <c r="I172" i="149"/>
  <c r="J172" i="149"/>
  <c r="I173" i="149"/>
  <c r="J173" i="149"/>
  <c r="I174" i="149"/>
  <c r="J174" i="149"/>
  <c r="I175" i="149"/>
  <c r="J175" i="149"/>
  <c r="I176" i="149"/>
  <c r="J176" i="149"/>
  <c r="I177" i="149"/>
  <c r="J177" i="149"/>
  <c r="I178" i="149"/>
  <c r="J178" i="149"/>
  <c r="I179" i="149"/>
  <c r="J179" i="149"/>
  <c r="I180" i="149"/>
  <c r="J180" i="149"/>
  <c r="I181" i="149"/>
  <c r="J181" i="149"/>
  <c r="I182" i="149"/>
  <c r="J182" i="149"/>
  <c r="I183" i="149"/>
  <c r="J183" i="149"/>
  <c r="I184" i="149"/>
  <c r="J184" i="149"/>
  <c r="I185" i="149"/>
  <c r="J185" i="149"/>
  <c r="I186" i="149"/>
  <c r="J186" i="149"/>
  <c r="I187" i="149"/>
  <c r="J187" i="149"/>
  <c r="I188" i="149"/>
  <c r="J188" i="149"/>
  <c r="I189" i="149"/>
  <c r="J189" i="149"/>
  <c r="I190" i="149"/>
  <c r="J190" i="149"/>
  <c r="I191" i="149"/>
  <c r="J191" i="149"/>
  <c r="I192" i="149"/>
  <c r="J192" i="149"/>
  <c r="I193" i="149"/>
  <c r="J193" i="149"/>
  <c r="I194" i="149"/>
  <c r="J194" i="149"/>
  <c r="I195" i="149"/>
  <c r="J195" i="149"/>
  <c r="I196" i="149"/>
  <c r="J196" i="149"/>
  <c r="I197" i="149"/>
  <c r="J197" i="149"/>
  <c r="I198" i="149"/>
  <c r="J198" i="149"/>
  <c r="I199" i="149"/>
  <c r="J199" i="149"/>
  <c r="I200" i="149"/>
  <c r="J200" i="149"/>
  <c r="I201" i="149"/>
  <c r="J201" i="149"/>
  <c r="I202" i="149"/>
  <c r="J202" i="149"/>
  <c r="I203" i="149"/>
  <c r="J203" i="149"/>
  <c r="I204" i="149"/>
  <c r="J204" i="149"/>
  <c r="I205" i="149"/>
  <c r="J205" i="149"/>
  <c r="I206" i="149"/>
  <c r="J206" i="149"/>
  <c r="I207" i="149"/>
  <c r="J207" i="149"/>
  <c r="I208" i="149"/>
  <c r="J208" i="149"/>
  <c r="I209" i="149"/>
  <c r="J209" i="149"/>
  <c r="I210" i="149"/>
  <c r="J210" i="149"/>
  <c r="I211" i="149"/>
  <c r="J211" i="149"/>
  <c r="I212" i="149"/>
  <c r="J212" i="149"/>
  <c r="I213" i="149"/>
  <c r="J213" i="149"/>
  <c r="I214" i="149"/>
  <c r="J214" i="149"/>
  <c r="I215" i="149"/>
  <c r="J215" i="149"/>
  <c r="I216" i="149"/>
  <c r="J216" i="149"/>
  <c r="I217" i="149"/>
  <c r="J217" i="149"/>
  <c r="I218" i="149"/>
  <c r="J218" i="149"/>
  <c r="I219" i="149"/>
  <c r="J219" i="149"/>
  <c r="I220" i="149"/>
  <c r="J220" i="149"/>
  <c r="I221" i="149"/>
  <c r="J221" i="149"/>
  <c r="I222" i="149"/>
  <c r="J222" i="149"/>
  <c r="I223" i="149"/>
  <c r="J223" i="149"/>
  <c r="I224" i="149"/>
  <c r="J224" i="149"/>
  <c r="I225" i="149"/>
  <c r="J225" i="149"/>
  <c r="I226" i="149"/>
  <c r="J226" i="149"/>
  <c r="I227" i="149"/>
  <c r="J227" i="149"/>
  <c r="I228" i="149"/>
  <c r="J228" i="149"/>
  <c r="I229" i="149"/>
  <c r="J229" i="149"/>
  <c r="I230" i="149"/>
  <c r="J230" i="149"/>
  <c r="I231" i="149"/>
  <c r="J231" i="149"/>
  <c r="I155" i="149"/>
  <c r="J155" i="149"/>
  <c r="I156" i="149"/>
  <c r="J156" i="149"/>
  <c r="I157" i="149"/>
  <c r="J157" i="149"/>
  <c r="I158" i="149"/>
  <c r="J158" i="149"/>
  <c r="I159" i="149"/>
  <c r="J159" i="149"/>
  <c r="I160" i="149"/>
  <c r="J160" i="149"/>
  <c r="I161" i="149"/>
  <c r="J161" i="149"/>
  <c r="I162" i="149"/>
  <c r="J162" i="149"/>
  <c r="I163" i="149"/>
  <c r="J163" i="149"/>
  <c r="I164" i="149"/>
  <c r="J164" i="149"/>
  <c r="I165" i="149"/>
  <c r="J165" i="149"/>
  <c r="I166" i="149"/>
  <c r="J166" i="149"/>
  <c r="I167" i="149"/>
  <c r="J167" i="149"/>
  <c r="I168" i="149"/>
  <c r="J168" i="149"/>
  <c r="I169" i="149"/>
  <c r="J169" i="149"/>
  <c r="I170" i="149"/>
  <c r="J170" i="149"/>
  <c r="I122" i="149"/>
  <c r="J122" i="149"/>
  <c r="I123" i="149"/>
  <c r="J123" i="149"/>
  <c r="I124" i="149"/>
  <c r="J124" i="149"/>
  <c r="I125" i="149"/>
  <c r="J125" i="149"/>
  <c r="I126" i="149"/>
  <c r="J126" i="149"/>
  <c r="I127" i="149"/>
  <c r="J127" i="149"/>
  <c r="I128" i="149"/>
  <c r="J128" i="149"/>
  <c r="I129" i="149"/>
  <c r="J129" i="149"/>
  <c r="I130" i="149"/>
  <c r="J130" i="149"/>
  <c r="I131" i="149"/>
  <c r="J131" i="149"/>
  <c r="I132" i="149"/>
  <c r="J132" i="149"/>
  <c r="I133" i="149"/>
  <c r="J133" i="149"/>
  <c r="I134" i="149"/>
  <c r="J134" i="149"/>
  <c r="I135" i="149"/>
  <c r="J135" i="149"/>
  <c r="I136" i="149"/>
  <c r="J136" i="149"/>
  <c r="I137" i="149"/>
  <c r="J137" i="149"/>
  <c r="I138" i="149"/>
  <c r="J138" i="149"/>
  <c r="I139" i="149"/>
  <c r="J139" i="149"/>
  <c r="I140" i="149"/>
  <c r="J140" i="149"/>
  <c r="I141" i="149"/>
  <c r="J141" i="149"/>
  <c r="I142" i="149"/>
  <c r="J142" i="149"/>
  <c r="I143" i="149"/>
  <c r="J143" i="149"/>
  <c r="I144" i="149"/>
  <c r="J144" i="149"/>
  <c r="I145" i="149"/>
  <c r="J145" i="149"/>
  <c r="I146" i="149"/>
  <c r="J146" i="149"/>
  <c r="I147" i="149"/>
  <c r="J147" i="149"/>
  <c r="I148" i="149"/>
  <c r="J148" i="149"/>
  <c r="I149" i="149"/>
  <c r="J149" i="149"/>
  <c r="I150" i="149"/>
  <c r="J150" i="149"/>
  <c r="I151" i="149"/>
  <c r="J151" i="149"/>
  <c r="I152" i="149"/>
  <c r="J152" i="149"/>
  <c r="I153" i="149"/>
  <c r="J153" i="149"/>
  <c r="I154" i="149"/>
  <c r="J154" i="149"/>
  <c r="I108" i="149"/>
  <c r="J108" i="149"/>
  <c r="I109" i="149"/>
  <c r="J109" i="149"/>
  <c r="I110" i="149"/>
  <c r="J110" i="149"/>
  <c r="I111" i="149"/>
  <c r="J111" i="149"/>
  <c r="I112" i="149"/>
  <c r="J112" i="149"/>
  <c r="I113" i="149"/>
  <c r="J113" i="149"/>
  <c r="I114" i="149"/>
  <c r="J114" i="149"/>
  <c r="I115" i="149"/>
  <c r="J115" i="149"/>
  <c r="I116" i="149"/>
  <c r="J116" i="149"/>
  <c r="I117" i="149"/>
  <c r="J117" i="149"/>
  <c r="I118" i="149"/>
  <c r="J118" i="149"/>
  <c r="I119" i="149"/>
  <c r="J119" i="149"/>
  <c r="I120" i="149"/>
  <c r="J120" i="149"/>
  <c r="I121" i="149"/>
  <c r="J121" i="149"/>
  <c r="I44" i="149"/>
  <c r="J44" i="149"/>
  <c r="I45" i="149"/>
  <c r="J45" i="149"/>
  <c r="I46" i="149"/>
  <c r="J46" i="149"/>
  <c r="I47" i="149"/>
  <c r="J47" i="149"/>
  <c r="I48" i="149"/>
  <c r="J48" i="149"/>
  <c r="I49" i="149"/>
  <c r="J49" i="149"/>
  <c r="I50" i="149"/>
  <c r="J50" i="149"/>
  <c r="I51" i="149"/>
  <c r="J51" i="149"/>
  <c r="I52" i="149"/>
  <c r="J52" i="149"/>
  <c r="I53" i="149"/>
  <c r="J53" i="149"/>
  <c r="I54" i="149"/>
  <c r="J54" i="149"/>
  <c r="I55" i="149"/>
  <c r="J55" i="149"/>
  <c r="I56" i="149"/>
  <c r="J56" i="149"/>
  <c r="I57" i="149"/>
  <c r="J57" i="149"/>
  <c r="I58" i="149"/>
  <c r="J58" i="149"/>
  <c r="I59" i="149"/>
  <c r="J59" i="149"/>
  <c r="I60" i="149"/>
  <c r="J60" i="149"/>
  <c r="I61" i="149"/>
  <c r="J61" i="149"/>
  <c r="I62" i="149"/>
  <c r="J62" i="149"/>
  <c r="I63" i="149"/>
  <c r="J63" i="149"/>
  <c r="I64" i="149"/>
  <c r="J64" i="149"/>
  <c r="I65" i="149"/>
  <c r="J65" i="149"/>
  <c r="I66" i="149"/>
  <c r="J66" i="149"/>
  <c r="I67" i="149"/>
  <c r="J67" i="149"/>
  <c r="I68" i="149"/>
  <c r="J68" i="149"/>
  <c r="I69" i="149"/>
  <c r="J69" i="149"/>
  <c r="I70" i="149"/>
  <c r="J70" i="149"/>
  <c r="I71" i="149"/>
  <c r="J71" i="149"/>
  <c r="I72" i="149"/>
  <c r="J72" i="149"/>
  <c r="I73" i="149"/>
  <c r="J73" i="149"/>
  <c r="I74" i="149"/>
  <c r="J74" i="149"/>
  <c r="I75" i="149"/>
  <c r="J75" i="149"/>
  <c r="I76" i="149"/>
  <c r="J76" i="149"/>
  <c r="I77" i="149"/>
  <c r="J77" i="149"/>
  <c r="I78" i="149"/>
  <c r="J78" i="149"/>
  <c r="I79" i="149"/>
  <c r="J79" i="149"/>
  <c r="I80" i="149"/>
  <c r="J80" i="149"/>
  <c r="I81" i="149"/>
  <c r="J81" i="149"/>
  <c r="I82" i="149"/>
  <c r="J82" i="149"/>
  <c r="I83" i="149"/>
  <c r="J83" i="149"/>
  <c r="I84" i="149"/>
  <c r="J84" i="149"/>
  <c r="I85" i="149"/>
  <c r="J85" i="149"/>
  <c r="I86" i="149"/>
  <c r="J86" i="149"/>
  <c r="I87" i="149"/>
  <c r="J87" i="149"/>
  <c r="I88" i="149"/>
  <c r="J88" i="149"/>
  <c r="I89" i="149"/>
  <c r="J89" i="149"/>
  <c r="I90" i="149"/>
  <c r="J90" i="149"/>
  <c r="I91" i="149"/>
  <c r="J91" i="149"/>
  <c r="I92" i="149"/>
  <c r="J92" i="149"/>
  <c r="I93" i="149"/>
  <c r="J93" i="149"/>
  <c r="I94" i="149"/>
  <c r="J94" i="149"/>
  <c r="I95" i="149"/>
  <c r="J95" i="149"/>
  <c r="I96" i="149"/>
  <c r="J96" i="149"/>
  <c r="I97" i="149"/>
  <c r="J97" i="149"/>
  <c r="I98" i="149"/>
  <c r="J98" i="149"/>
  <c r="I99" i="149"/>
  <c r="J99" i="149"/>
  <c r="I100" i="149"/>
  <c r="J100" i="149"/>
  <c r="I101" i="149"/>
  <c r="J101" i="149"/>
  <c r="I102" i="149"/>
  <c r="J102" i="149"/>
  <c r="I103" i="149"/>
  <c r="J103" i="149"/>
  <c r="I104" i="149"/>
  <c r="J104" i="149"/>
  <c r="I105" i="149"/>
  <c r="J105" i="149"/>
  <c r="I106" i="149"/>
  <c r="J106" i="149"/>
  <c r="I107" i="149"/>
  <c r="J107" i="149"/>
  <c r="I2" i="149"/>
  <c r="J2" i="149"/>
  <c r="I3" i="149"/>
  <c r="J3" i="149"/>
  <c r="I4" i="149"/>
  <c r="J4" i="149"/>
  <c r="I5" i="149"/>
  <c r="J5" i="149"/>
  <c r="I6" i="149"/>
  <c r="J6" i="149"/>
  <c r="I7" i="149"/>
  <c r="J7" i="149"/>
  <c r="I8" i="149"/>
  <c r="J8" i="149"/>
  <c r="I9" i="149"/>
  <c r="J9" i="149"/>
  <c r="I10" i="149"/>
  <c r="J10" i="149"/>
  <c r="I11" i="149"/>
  <c r="J11" i="149"/>
  <c r="I12" i="149"/>
  <c r="J12" i="149"/>
  <c r="I13" i="149"/>
  <c r="J13" i="149"/>
  <c r="I14" i="149"/>
  <c r="J14" i="149"/>
  <c r="I15" i="149"/>
  <c r="J15" i="149"/>
  <c r="I16" i="149"/>
  <c r="J16" i="149"/>
  <c r="I17" i="149"/>
  <c r="J17" i="149"/>
  <c r="I18" i="149"/>
  <c r="J18" i="149"/>
  <c r="I19" i="149"/>
  <c r="J19" i="149"/>
  <c r="I20" i="149"/>
  <c r="J20" i="149"/>
  <c r="I21" i="149"/>
  <c r="J21" i="149"/>
  <c r="I22" i="149"/>
  <c r="J22" i="149"/>
  <c r="I23" i="149"/>
  <c r="J23" i="149"/>
  <c r="I24" i="149"/>
  <c r="J24" i="149"/>
  <c r="I25" i="149"/>
  <c r="J25" i="149"/>
  <c r="I26" i="149"/>
  <c r="J26" i="149"/>
  <c r="I27" i="149"/>
  <c r="J27" i="149"/>
  <c r="I28" i="149"/>
  <c r="J28" i="149"/>
  <c r="I29" i="149"/>
  <c r="J29" i="149"/>
  <c r="I30" i="149"/>
  <c r="J30" i="149"/>
  <c r="I31" i="149"/>
  <c r="J31" i="149"/>
  <c r="I32" i="149"/>
  <c r="J32" i="149"/>
  <c r="I33" i="149"/>
  <c r="J33" i="149"/>
  <c r="I34" i="149"/>
  <c r="J34" i="149"/>
  <c r="I35" i="149"/>
  <c r="J35" i="149"/>
  <c r="I36" i="149"/>
  <c r="J36" i="149"/>
  <c r="I37" i="149"/>
  <c r="J37" i="149"/>
  <c r="I38" i="149"/>
  <c r="J38" i="149"/>
  <c r="I39" i="149"/>
  <c r="J39" i="149"/>
  <c r="I40" i="149"/>
  <c r="J40" i="149"/>
  <c r="I41" i="149"/>
  <c r="J41" i="149"/>
  <c r="I42" i="149"/>
  <c r="J42" i="149"/>
  <c r="I43" i="149"/>
  <c r="J43" i="149"/>
  <c r="L56" i="149"/>
  <c r="L57" i="149" s="1"/>
  <c r="D48" i="152" l="1"/>
  <c r="D23" i="152" l="1"/>
  <c r="D25" i="152"/>
  <c r="D16" i="152"/>
  <c r="B82" i="36" l="1"/>
  <c r="B81" i="36"/>
  <c r="B80" i="36"/>
  <c r="B85" i="36"/>
  <c r="B88" i="36"/>
  <c r="B87" i="36"/>
  <c r="B84" i="36"/>
  <c r="B83" i="36"/>
  <c r="B78" i="36"/>
  <c r="B77" i="36"/>
  <c r="B76" i="36"/>
  <c r="B75" i="36"/>
  <c r="B74" i="36"/>
  <c r="B72" i="36"/>
  <c r="B71" i="36"/>
  <c r="B70" i="36"/>
  <c r="B69" i="36"/>
  <c r="B68" i="36"/>
  <c r="B66" i="36"/>
  <c r="B65" i="36"/>
  <c r="B64" i="36"/>
  <c r="B63" i="36"/>
  <c r="B62" i="36"/>
  <c r="B61" i="36"/>
  <c r="B60" i="36"/>
  <c r="B59" i="36"/>
  <c r="B58" i="36"/>
  <c r="B57" i="36"/>
  <c r="B56" i="36"/>
  <c r="B55" i="36"/>
  <c r="B53" i="36"/>
  <c r="B52" i="36"/>
  <c r="B51" i="36"/>
  <c r="B50" i="36"/>
  <c r="B49" i="36"/>
  <c r="B48" i="36"/>
  <c r="B47" i="36"/>
  <c r="B45" i="36"/>
  <c r="B13" i="36" l="1"/>
  <c r="B98" i="36"/>
  <c r="I1" i="149"/>
  <c r="J1" i="149"/>
  <c r="I506" i="149"/>
  <c r="J506" i="149"/>
  <c r="I507" i="149"/>
  <c r="J507" i="149"/>
  <c r="I508" i="149"/>
  <c r="J508" i="149"/>
  <c r="I509" i="149"/>
  <c r="J509" i="149"/>
  <c r="I510" i="149"/>
  <c r="J510" i="149"/>
  <c r="I511" i="149"/>
  <c r="J511" i="149"/>
  <c r="I512" i="149"/>
  <c r="J512" i="149"/>
  <c r="I513" i="149"/>
  <c r="J513" i="149"/>
  <c r="I514" i="149"/>
  <c r="J514" i="149"/>
  <c r="I515" i="149"/>
  <c r="J515" i="149"/>
  <c r="I516" i="149"/>
  <c r="J516" i="149"/>
  <c r="I517" i="149"/>
  <c r="J517" i="149"/>
  <c r="I518" i="149"/>
  <c r="J518" i="149"/>
  <c r="I519" i="149"/>
  <c r="J519" i="149"/>
  <c r="J520" i="149"/>
  <c r="J521" i="149"/>
  <c r="J522" i="149"/>
  <c r="J523" i="149"/>
  <c r="J524" i="149"/>
  <c r="J525" i="149"/>
  <c r="J526" i="149"/>
  <c r="J527" i="149"/>
  <c r="J528" i="149"/>
  <c r="J529" i="149"/>
  <c r="J531" i="149"/>
  <c r="J532" i="149"/>
  <c r="J533" i="149"/>
  <c r="J534" i="149"/>
  <c r="J535" i="149"/>
  <c r="J536" i="149"/>
  <c r="J537" i="149"/>
  <c r="J538" i="149"/>
  <c r="J539" i="149"/>
  <c r="J540" i="149"/>
  <c r="J541" i="149"/>
  <c r="J542" i="149"/>
  <c r="J543" i="149"/>
  <c r="J544" i="149"/>
  <c r="J545" i="149"/>
  <c r="J546" i="149"/>
  <c r="J547" i="149"/>
  <c r="J548" i="149"/>
  <c r="J549" i="149"/>
  <c r="J550" i="149"/>
  <c r="J551" i="149"/>
  <c r="J552" i="149"/>
  <c r="J553" i="149"/>
  <c r="J554" i="149"/>
  <c r="J555" i="149"/>
  <c r="J556" i="149"/>
  <c r="J557" i="149"/>
  <c r="J558" i="149"/>
  <c r="J559" i="149"/>
  <c r="J560" i="149"/>
  <c r="J561" i="149"/>
  <c r="J562" i="149"/>
  <c r="J563" i="149"/>
  <c r="J564" i="149"/>
  <c r="J565" i="149"/>
  <c r="J566" i="149"/>
  <c r="J567" i="149"/>
  <c r="E39" i="152"/>
  <c r="B16" i="162"/>
  <c r="F47" i="152" l="1"/>
  <c r="G47" i="152" s="1"/>
  <c r="F24" i="152"/>
  <c r="G24" i="152" s="1"/>
  <c r="F25" i="152" l="1"/>
  <c r="G25" i="152" s="1"/>
  <c r="F16" i="152" l="1"/>
  <c r="G16" i="152" s="1"/>
  <c r="D22" i="152"/>
  <c r="C18" i="162" s="1"/>
  <c r="F23" i="152"/>
  <c r="F22" i="152" l="1"/>
  <c r="G22" i="152" s="1"/>
  <c r="D92" i="162"/>
  <c r="E89" i="162"/>
  <c r="D84" i="162"/>
  <c r="D80" i="162"/>
  <c r="F77" i="162"/>
  <c r="F51" i="162"/>
  <c r="B72" i="162"/>
  <c r="B40" i="162"/>
  <c r="A51" i="157"/>
  <c r="B47" i="157"/>
  <c r="C49" i="157"/>
  <c r="E18" i="153"/>
  <c r="B18" i="36"/>
  <c r="C17" i="153" s="1"/>
  <c r="A18" i="36"/>
  <c r="D37" i="152"/>
  <c r="D29" i="50"/>
  <c r="D27" i="152" s="1"/>
  <c r="F27" i="152" s="1"/>
  <c r="D30" i="50"/>
  <c r="F48" i="152"/>
  <c r="F53" i="152"/>
  <c r="D52" i="157" l="1"/>
  <c r="E52" i="157" s="1"/>
  <c r="C54" i="157"/>
  <c r="D47" i="157"/>
  <c r="E47" i="157" s="1"/>
  <c r="G17" i="153"/>
  <c r="H17" i="153" s="1"/>
  <c r="D57" i="152" l="1"/>
  <c r="D44" i="152"/>
  <c r="D313" i="149"/>
  <c r="D74" i="50"/>
  <c r="D33" i="50"/>
  <c r="D13" i="152" s="1"/>
  <c r="D50" i="50"/>
  <c r="D48" i="50"/>
  <c r="D46" i="50"/>
  <c r="D38" i="152" s="1"/>
  <c r="D16" i="50"/>
  <c r="D21" i="152" s="1"/>
  <c r="D14" i="50"/>
  <c r="D15" i="50"/>
  <c r="E40" i="165"/>
  <c r="E35" i="165"/>
  <c r="E27" i="165"/>
  <c r="E11" i="165"/>
  <c r="E19" i="165" s="1"/>
  <c r="C72" i="162" l="1"/>
  <c r="G72" i="162" s="1"/>
  <c r="D54" i="152"/>
  <c r="F54" i="152" s="1"/>
  <c r="F13" i="152"/>
  <c r="C40" i="162"/>
  <c r="G40" i="162" s="1"/>
  <c r="I40" i="162" s="1"/>
  <c r="D39" i="152"/>
  <c r="C16" i="162"/>
  <c r="F21" i="152"/>
  <c r="G21" i="152" s="1"/>
  <c r="E37" i="165"/>
  <c r="C18" i="165"/>
  <c r="B17" i="165"/>
  <c r="D17" i="165" s="1"/>
  <c r="C40" i="165"/>
  <c r="C35" i="165"/>
  <c r="C27" i="165"/>
  <c r="A1" i="165"/>
  <c r="F17" i="165" l="1"/>
  <c r="G29" i="162"/>
  <c r="F20" i="162"/>
  <c r="E43" i="162"/>
  <c r="F31" i="162"/>
  <c r="F55" i="162"/>
  <c r="F43" i="162" s="1"/>
  <c r="G89" i="162"/>
  <c r="E91" i="162"/>
  <c r="G17" i="162"/>
  <c r="E86" i="162"/>
  <c r="E82" i="162"/>
  <c r="E79" i="162"/>
  <c r="E20" i="162"/>
  <c r="F7" i="162" l="1"/>
  <c r="E77" i="162"/>
  <c r="F48" i="163"/>
  <c r="G48" i="163" s="1"/>
  <c r="E41" i="163"/>
  <c r="G30" i="163"/>
  <c r="G36" i="163"/>
  <c r="H91" i="162"/>
  <c r="I67" i="162" l="1"/>
  <c r="I29" i="162"/>
  <c r="J29" i="162" s="1"/>
  <c r="I69" i="162"/>
  <c r="G67" i="162"/>
  <c r="I89" i="162"/>
  <c r="D86" i="162"/>
  <c r="D91" i="162"/>
  <c r="C7" i="165" s="1"/>
  <c r="C11" i="165" s="1"/>
  <c r="C19" i="165" s="1"/>
  <c r="C37" i="165" s="1"/>
  <c r="D82" i="162"/>
  <c r="D79" i="162"/>
  <c r="D55" i="162"/>
  <c r="D64" i="162"/>
  <c r="D75" i="162"/>
  <c r="D70" i="162"/>
  <c r="D51" i="162"/>
  <c r="B15" i="162"/>
  <c r="D39" i="162"/>
  <c r="D36" i="162"/>
  <c r="D31" i="162"/>
  <c r="D20" i="162"/>
  <c r="D14" i="162"/>
  <c r="D9" i="162"/>
  <c r="B17" i="154"/>
  <c r="C18" i="154"/>
  <c r="D77" i="162" l="1"/>
  <c r="D7" i="162"/>
  <c r="D43" i="162"/>
  <c r="C47" i="162" l="1"/>
  <c r="F67" i="152"/>
  <c r="B100" i="50"/>
  <c r="B34" i="36"/>
  <c r="B17" i="36"/>
  <c r="B16" i="36"/>
  <c r="B15" i="36"/>
  <c r="C77" i="153"/>
  <c r="C49" i="163" s="1"/>
  <c r="F49" i="163" s="1"/>
  <c r="G49" i="163" s="1"/>
  <c r="B97" i="36"/>
  <c r="C76" i="153" s="1"/>
  <c r="C47" i="163" s="1"/>
  <c r="B8" i="36"/>
  <c r="B7" i="36"/>
  <c r="D102" i="50"/>
  <c r="D74" i="152" s="1"/>
  <c r="D101" i="50"/>
  <c r="D73" i="152" s="1"/>
  <c r="D100" i="50"/>
  <c r="A102" i="50"/>
  <c r="B101" i="50"/>
  <c r="A101" i="50"/>
  <c r="A100" i="50"/>
  <c r="D94" i="50"/>
  <c r="D85" i="50"/>
  <c r="D64" i="50"/>
  <c r="D63" i="50"/>
  <c r="D58" i="152" l="1"/>
  <c r="F58" i="152" s="1"/>
  <c r="G58" i="152" s="1"/>
  <c r="G47" i="162"/>
  <c r="I47" i="162" s="1"/>
  <c r="C52" i="162"/>
  <c r="C50" i="163"/>
  <c r="F73" i="152"/>
  <c r="B48" i="157" s="1"/>
  <c r="C93" i="162"/>
  <c r="F74" i="152"/>
  <c r="B53" i="157" s="1"/>
  <c r="C94" i="162"/>
  <c r="D72" i="152"/>
  <c r="C92" i="162" s="1"/>
  <c r="G92" i="162" s="1"/>
  <c r="G67" i="152"/>
  <c r="D12" i="50"/>
  <c r="D10" i="50"/>
  <c r="D6" i="152" s="1"/>
  <c r="F6" i="152" s="1"/>
  <c r="G6" i="152" s="1"/>
  <c r="E61" i="152"/>
  <c r="F57" i="152"/>
  <c r="G57" i="152" s="1"/>
  <c r="G23" i="152"/>
  <c r="D53" i="157" l="1"/>
  <c r="B54" i="157"/>
  <c r="D54" i="157" s="1"/>
  <c r="E54" i="157" s="1"/>
  <c r="B49" i="157"/>
  <c r="D49" i="157" s="1"/>
  <c r="E49" i="157" s="1"/>
  <c r="D48" i="157"/>
  <c r="B23" i="165"/>
  <c r="G94" i="162"/>
  <c r="I94" i="162" s="1"/>
  <c r="G93" i="162"/>
  <c r="I93" i="162" s="1"/>
  <c r="I92" i="162"/>
  <c r="A1" i="154"/>
  <c r="F23" i="165" l="1"/>
  <c r="G23" i="165" s="1"/>
  <c r="D23" i="165"/>
  <c r="B99" i="36"/>
  <c r="C33" i="153"/>
  <c r="G33" i="153" s="1"/>
  <c r="H33" i="153" s="1"/>
  <c r="A33" i="153"/>
  <c r="D11" i="152"/>
  <c r="F11" i="152" l="1"/>
  <c r="G11" i="152" s="1"/>
  <c r="D28" i="152"/>
  <c r="F28" i="152" s="1"/>
  <c r="D69" i="50"/>
  <c r="B69" i="50"/>
  <c r="A69" i="50"/>
  <c r="D70" i="50"/>
  <c r="E55" i="152" l="1"/>
  <c r="D419" i="149"/>
  <c r="E78" i="153"/>
  <c r="E9" i="163" l="1"/>
  <c r="E50" i="163" l="1"/>
  <c r="F50" i="163" l="1"/>
  <c r="G50" i="163" s="1"/>
  <c r="H77" i="153" l="1"/>
  <c r="D73" i="50" l="1"/>
  <c r="D72" i="50"/>
  <c r="D71" i="50"/>
  <c r="D50" i="152" s="1"/>
  <c r="D68" i="50"/>
  <c r="D67" i="50"/>
  <c r="D66" i="50"/>
  <c r="D61" i="50"/>
  <c r="D59" i="152" s="1"/>
  <c r="D60" i="50"/>
  <c r="D46" i="152" s="1"/>
  <c r="D59" i="50"/>
  <c r="D58" i="50"/>
  <c r="D45" i="152" s="1"/>
  <c r="D44" i="50"/>
  <c r="D34" i="152" s="1"/>
  <c r="D41" i="50"/>
  <c r="D42" i="50"/>
  <c r="D38" i="50"/>
  <c r="D26" i="152" s="1"/>
  <c r="F26" i="152" s="1"/>
  <c r="G26" i="152" s="1"/>
  <c r="D37" i="50"/>
  <c r="D17" i="152" s="1"/>
  <c r="D36" i="50"/>
  <c r="D35" i="50"/>
  <c r="D34" i="50"/>
  <c r="D32" i="50"/>
  <c r="D8" i="152"/>
  <c r="D14" i="152" l="1"/>
  <c r="C32" i="162"/>
  <c r="D65" i="50"/>
  <c r="F50" i="152"/>
  <c r="E16" i="162"/>
  <c r="D13" i="50"/>
  <c r="F12" i="152"/>
  <c r="G12" i="152" s="1"/>
  <c r="E14" i="162" l="1"/>
  <c r="E7" i="162" s="1"/>
  <c r="I16" i="162"/>
  <c r="A49" i="163"/>
  <c r="C24" i="162"/>
  <c r="G24" i="162" l="1"/>
  <c r="I24" i="162" s="1"/>
  <c r="E71" i="153"/>
  <c r="C38" i="153" l="1"/>
  <c r="C56" i="153"/>
  <c r="C61" i="153" l="1"/>
  <c r="C62" i="153"/>
  <c r="C28" i="162"/>
  <c r="C9" i="153"/>
  <c r="C8" i="153"/>
  <c r="C7" i="163" s="1"/>
  <c r="B10" i="165" l="1"/>
  <c r="C8" i="163"/>
  <c r="F8" i="163" s="1"/>
  <c r="G8" i="163" s="1"/>
  <c r="G28" i="162"/>
  <c r="I28" i="162" s="1"/>
  <c r="G62" i="153"/>
  <c r="H62" i="153" s="1"/>
  <c r="B9" i="36"/>
  <c r="F10" i="165" l="1"/>
  <c r="D10" i="165"/>
  <c r="C21" i="162"/>
  <c r="G21" i="162" s="1"/>
  <c r="I21" i="162" l="1"/>
  <c r="C67" i="153"/>
  <c r="A67" i="153"/>
  <c r="A68" i="153"/>
  <c r="C65" i="153"/>
  <c r="C45" i="153"/>
  <c r="G45" i="153" s="1"/>
  <c r="C66" i="153"/>
  <c r="C70" i="153"/>
  <c r="C59" i="153"/>
  <c r="C64" i="153"/>
  <c r="C58" i="153"/>
  <c r="C54" i="153"/>
  <c r="C55" i="153"/>
  <c r="C53" i="153"/>
  <c r="C52" i="153"/>
  <c r="C51" i="153"/>
  <c r="C50" i="153"/>
  <c r="C49" i="153"/>
  <c r="C48" i="153"/>
  <c r="C47" i="153"/>
  <c r="C46" i="153"/>
  <c r="C43" i="153"/>
  <c r="B39" i="36"/>
  <c r="C37" i="153" s="1"/>
  <c r="B38" i="36"/>
  <c r="C36" i="153" s="1"/>
  <c r="B37" i="36"/>
  <c r="B36" i="36"/>
  <c r="B35" i="36"/>
  <c r="C34" i="153" s="1"/>
  <c r="B33" i="36"/>
  <c r="B32" i="36"/>
  <c r="B31" i="36"/>
  <c r="B30" i="36"/>
  <c r="B29" i="36"/>
  <c r="B28" i="36"/>
  <c r="B27" i="36"/>
  <c r="B26" i="36"/>
  <c r="B25" i="36"/>
  <c r="C15" i="153"/>
  <c r="B14" i="36"/>
  <c r="B19" i="36" s="1"/>
  <c r="D99" i="50"/>
  <c r="D98" i="50"/>
  <c r="D97" i="50"/>
  <c r="D96" i="50"/>
  <c r="D83" i="50"/>
  <c r="D82" i="50"/>
  <c r="D81" i="50"/>
  <c r="D79" i="50"/>
  <c r="C68" i="162" s="1"/>
  <c r="G68" i="162" s="1"/>
  <c r="C66" i="162"/>
  <c r="D76" i="50"/>
  <c r="C65" i="162" s="1"/>
  <c r="G65" i="162" s="1"/>
  <c r="C62" i="162"/>
  <c r="C60" i="162"/>
  <c r="C61" i="162"/>
  <c r="C59" i="162"/>
  <c r="C58" i="162"/>
  <c r="C57" i="162"/>
  <c r="G57" i="162" s="1"/>
  <c r="D40" i="50"/>
  <c r="C26" i="162"/>
  <c r="C34" i="162"/>
  <c r="C33" i="162"/>
  <c r="G32" i="162"/>
  <c r="G27" i="152"/>
  <c r="D28" i="50"/>
  <c r="C23" i="162" s="1"/>
  <c r="D26" i="50"/>
  <c r="D25" i="50"/>
  <c r="D24" i="50"/>
  <c r="D23" i="50"/>
  <c r="D22" i="50"/>
  <c r="C27" i="154"/>
  <c r="F49" i="152" l="1"/>
  <c r="G59" i="162"/>
  <c r="I59" i="162" s="1"/>
  <c r="G58" i="162"/>
  <c r="I58" i="162" s="1"/>
  <c r="G61" i="162"/>
  <c r="I61" i="162" s="1"/>
  <c r="G60" i="162"/>
  <c r="I60" i="162" s="1"/>
  <c r="G62" i="162"/>
  <c r="I62" i="162" s="1"/>
  <c r="G33" i="162"/>
  <c r="I33" i="162" s="1"/>
  <c r="I34" i="162"/>
  <c r="I57" i="162"/>
  <c r="G26" i="162"/>
  <c r="I26" i="162" s="1"/>
  <c r="G23" i="162"/>
  <c r="I23" i="162" s="1"/>
  <c r="I66" i="162"/>
  <c r="G66" i="162"/>
  <c r="I32" i="162"/>
  <c r="I68" i="162"/>
  <c r="D70" i="152"/>
  <c r="D68" i="152"/>
  <c r="C27" i="162"/>
  <c r="G28" i="152"/>
  <c r="C71" i="162"/>
  <c r="G71" i="162" s="1"/>
  <c r="C31" i="162"/>
  <c r="C25" i="162"/>
  <c r="C41" i="162"/>
  <c r="D47" i="50"/>
  <c r="C35" i="153"/>
  <c r="C44" i="153"/>
  <c r="C60" i="153"/>
  <c r="B9" i="165" s="1"/>
  <c r="C63" i="153"/>
  <c r="C56" i="162"/>
  <c r="G56" i="162" s="1"/>
  <c r="C73" i="162"/>
  <c r="C14" i="153"/>
  <c r="D8" i="50"/>
  <c r="I17" i="162"/>
  <c r="B40" i="36"/>
  <c r="C37" i="163" s="1"/>
  <c r="C80" i="162"/>
  <c r="G80" i="162" s="1"/>
  <c r="D69" i="152"/>
  <c r="D71" i="152"/>
  <c r="C95" i="162"/>
  <c r="G95" i="162" s="1"/>
  <c r="G73" i="162" l="1"/>
  <c r="I73" i="162" s="1"/>
  <c r="J73" i="162" s="1"/>
  <c r="G41" i="162"/>
  <c r="I41" i="162" s="1"/>
  <c r="C39" i="162"/>
  <c r="G31" i="162"/>
  <c r="F9" i="165"/>
  <c r="D9" i="165"/>
  <c r="C14" i="163"/>
  <c r="F14" i="163" s="1"/>
  <c r="G14" i="163" s="1"/>
  <c r="G25" i="162"/>
  <c r="I25" i="162" s="1"/>
  <c r="J25" i="162" s="1"/>
  <c r="G27" i="162"/>
  <c r="I27" i="162" s="1"/>
  <c r="J27" i="162" s="1"/>
  <c r="G64" i="162"/>
  <c r="I80" i="162"/>
  <c r="G79" i="162"/>
  <c r="I56" i="162"/>
  <c r="J56" i="162" s="1"/>
  <c r="C91" i="162"/>
  <c r="G91" i="162"/>
  <c r="I71" i="162"/>
  <c r="G70" i="162"/>
  <c r="F71" i="152"/>
  <c r="G71" i="152" s="1"/>
  <c r="C84" i="162"/>
  <c r="F69" i="152"/>
  <c r="G69" i="152" s="1"/>
  <c r="C83" i="162"/>
  <c r="G83" i="162" s="1"/>
  <c r="F68" i="152"/>
  <c r="B32" i="165" s="1"/>
  <c r="C87" i="162"/>
  <c r="G87" i="162" s="1"/>
  <c r="F70" i="152"/>
  <c r="G70" i="152" s="1"/>
  <c r="C88" i="162"/>
  <c r="E31" i="164"/>
  <c r="E32" i="164" s="1"/>
  <c r="E26" i="164"/>
  <c r="E27" i="164" s="1"/>
  <c r="E22" i="164"/>
  <c r="E21" i="164"/>
  <c r="E20" i="164"/>
  <c r="E19" i="164"/>
  <c r="E18" i="164"/>
  <c r="E11" i="164"/>
  <c r="E12" i="164" s="1"/>
  <c r="E7" i="164"/>
  <c r="E8" i="164" s="1"/>
  <c r="D32" i="164"/>
  <c r="C32" i="164"/>
  <c r="D27" i="164"/>
  <c r="C27" i="164"/>
  <c r="D23" i="164"/>
  <c r="C23" i="164"/>
  <c r="D12" i="164"/>
  <c r="C12" i="164"/>
  <c r="D8" i="164"/>
  <c r="C8" i="164"/>
  <c r="B70" i="152"/>
  <c r="B87" i="162" s="1"/>
  <c r="A23" i="157"/>
  <c r="F47" i="163"/>
  <c r="G47" i="163" s="1"/>
  <c r="F37" i="163"/>
  <c r="G37" i="163" s="1"/>
  <c r="E46" i="163"/>
  <c r="E20" i="163"/>
  <c r="E16" i="163"/>
  <c r="E12" i="163"/>
  <c r="C12" i="163"/>
  <c r="C20" i="163"/>
  <c r="G22" i="163"/>
  <c r="G24" i="163"/>
  <c r="G26" i="163"/>
  <c r="G28" i="163"/>
  <c r="G31" i="163"/>
  <c r="G33" i="163"/>
  <c r="G35" i="163"/>
  <c r="C46" i="163"/>
  <c r="H45" i="162"/>
  <c r="H51" i="162"/>
  <c r="H55" i="162"/>
  <c r="H64" i="162"/>
  <c r="H70" i="162"/>
  <c r="H75" i="162"/>
  <c r="J57" i="162"/>
  <c r="J58" i="162"/>
  <c r="J59" i="162"/>
  <c r="J61" i="162"/>
  <c r="J62" i="162"/>
  <c r="I65" i="162"/>
  <c r="J65" i="162" s="1"/>
  <c r="J66" i="162"/>
  <c r="J68" i="162"/>
  <c r="H14" i="162"/>
  <c r="J16" i="162"/>
  <c r="H20" i="162"/>
  <c r="J23" i="162"/>
  <c r="J24" i="162"/>
  <c r="J26" i="162"/>
  <c r="J28" i="162"/>
  <c r="H31" i="162"/>
  <c r="H36" i="162"/>
  <c r="H39" i="162"/>
  <c r="J60" i="162"/>
  <c r="J67" i="162"/>
  <c r="H79" i="162"/>
  <c r="H82" i="162"/>
  <c r="H86" i="162"/>
  <c r="H9" i="162"/>
  <c r="E10" i="153"/>
  <c r="F17" i="153" s="1"/>
  <c r="I74" i="162"/>
  <c r="D41" i="155"/>
  <c r="C30" i="155"/>
  <c r="C34" i="155" s="1"/>
  <c r="B30" i="155"/>
  <c r="E9" i="152"/>
  <c r="F59" i="152"/>
  <c r="C48" i="162"/>
  <c r="D32" i="152"/>
  <c r="F32" i="152" s="1"/>
  <c r="D33" i="152"/>
  <c r="F33" i="152" s="1"/>
  <c r="F34" i="152"/>
  <c r="G34" i="152" s="1"/>
  <c r="D15" i="152"/>
  <c r="C15" i="162"/>
  <c r="G15" i="162" s="1"/>
  <c r="I15" i="162" s="1"/>
  <c r="D7" i="152"/>
  <c r="C10" i="162"/>
  <c r="G10" i="162" s="1"/>
  <c r="I10" i="162" s="1"/>
  <c r="G36" i="153"/>
  <c r="H36" i="153" s="1"/>
  <c r="C68" i="153"/>
  <c r="G68" i="153" s="1"/>
  <c r="H68" i="153" s="1"/>
  <c r="G67" i="153"/>
  <c r="H67" i="153" s="1"/>
  <c r="G66" i="153"/>
  <c r="H66" i="153" s="1"/>
  <c r="A66" i="153"/>
  <c r="D62" i="50"/>
  <c r="D60" i="152" s="1"/>
  <c r="D57" i="50"/>
  <c r="D27" i="50"/>
  <c r="C57" i="158"/>
  <c r="C44" i="158" s="1"/>
  <c r="E44" i="158" s="1"/>
  <c r="F44" i="158" s="1"/>
  <c r="C93" i="158"/>
  <c r="C89" i="158"/>
  <c r="C97" i="158"/>
  <c r="E97" i="158" s="1"/>
  <c r="F97" i="158" s="1"/>
  <c r="C6" i="158"/>
  <c r="E6" i="158" s="1"/>
  <c r="F6" i="158" s="1"/>
  <c r="C37" i="158"/>
  <c r="E37" i="158" s="1"/>
  <c r="F37" i="158" s="1"/>
  <c r="D31" i="152"/>
  <c r="G31" i="152" s="1"/>
  <c r="C9" i="159"/>
  <c r="D94" i="159" s="1"/>
  <c r="I7" i="159"/>
  <c r="J7" i="159" s="1"/>
  <c r="F9" i="159"/>
  <c r="G15" i="159"/>
  <c r="C12" i="159"/>
  <c r="F12" i="159"/>
  <c r="I13" i="159"/>
  <c r="J13" i="159"/>
  <c r="I14" i="159"/>
  <c r="J14" i="159" s="1"/>
  <c r="F16" i="159"/>
  <c r="F17" i="159" s="1"/>
  <c r="G17" i="159" s="1"/>
  <c r="C20" i="159"/>
  <c r="F20" i="159"/>
  <c r="I22" i="159"/>
  <c r="J22" i="159" s="1"/>
  <c r="I23" i="159"/>
  <c r="J23" i="159" s="1"/>
  <c r="I24" i="159"/>
  <c r="J24" i="159" s="1"/>
  <c r="I25" i="159"/>
  <c r="J25" i="159" s="1"/>
  <c r="I27" i="159"/>
  <c r="J27" i="159" s="1"/>
  <c r="I28" i="159"/>
  <c r="I29" i="159"/>
  <c r="I30" i="159"/>
  <c r="I31" i="159"/>
  <c r="J31" i="159" s="1"/>
  <c r="I32" i="159"/>
  <c r="J32" i="159" s="1"/>
  <c r="I33" i="159"/>
  <c r="J33" i="159" s="1"/>
  <c r="I34" i="159"/>
  <c r="J34" i="159" s="1"/>
  <c r="I35" i="159"/>
  <c r="J35" i="159" s="1"/>
  <c r="I36" i="159"/>
  <c r="F37" i="159"/>
  <c r="G37" i="159" s="1"/>
  <c r="C40" i="159"/>
  <c r="F40" i="159"/>
  <c r="I41" i="159"/>
  <c r="J41" i="159" s="1"/>
  <c r="I42" i="159"/>
  <c r="J42" i="159" s="1"/>
  <c r="I44" i="159"/>
  <c r="I45" i="159"/>
  <c r="J45" i="159" s="1"/>
  <c r="I46" i="159"/>
  <c r="I47" i="159"/>
  <c r="I48" i="159"/>
  <c r="J48" i="159" s="1"/>
  <c r="D50" i="159"/>
  <c r="I52" i="159"/>
  <c r="J52" i="159" s="1"/>
  <c r="I53" i="159"/>
  <c r="J53" i="159" s="1"/>
  <c r="I54" i="159"/>
  <c r="J54" i="159" s="1"/>
  <c r="I55" i="159"/>
  <c r="I57" i="159"/>
  <c r="I59" i="159"/>
  <c r="J59" i="159" s="1"/>
  <c r="I62" i="159"/>
  <c r="J62" i="159" s="1"/>
  <c r="I64" i="159"/>
  <c r="J64" i="159" s="1"/>
  <c r="I65" i="159"/>
  <c r="D66" i="159"/>
  <c r="I67" i="159"/>
  <c r="I69" i="159"/>
  <c r="I70" i="159"/>
  <c r="I72" i="159"/>
  <c r="J72" i="159" s="1"/>
  <c r="I73" i="159"/>
  <c r="I74" i="159"/>
  <c r="I75" i="159"/>
  <c r="I76" i="159"/>
  <c r="I77" i="159"/>
  <c r="J77" i="159" s="1"/>
  <c r="I78" i="159"/>
  <c r="J78" i="159" s="1"/>
  <c r="D79" i="159"/>
  <c r="I80" i="159"/>
  <c r="I81" i="159"/>
  <c r="I83" i="159"/>
  <c r="I84" i="159"/>
  <c r="I85" i="159"/>
  <c r="F86" i="159"/>
  <c r="I86" i="159" s="1"/>
  <c r="J86" i="159" s="1"/>
  <c r="C92" i="159"/>
  <c r="F92" i="159"/>
  <c r="F96" i="159"/>
  <c r="E13" i="158"/>
  <c r="F13" i="158" s="1"/>
  <c r="E14" i="158"/>
  <c r="F14" i="158" s="1"/>
  <c r="E15" i="158"/>
  <c r="F15" i="158" s="1"/>
  <c r="E16" i="158"/>
  <c r="F16" i="158" s="1"/>
  <c r="E18" i="158"/>
  <c r="F18" i="158" s="1"/>
  <c r="E19" i="158"/>
  <c r="F19" i="158" s="1"/>
  <c r="E20" i="158"/>
  <c r="F20" i="158" s="1"/>
  <c r="E21" i="158"/>
  <c r="F21" i="158" s="1"/>
  <c r="E22" i="158"/>
  <c r="F22" i="158" s="1"/>
  <c r="E54" i="158"/>
  <c r="F54" i="158"/>
  <c r="E55" i="158"/>
  <c r="F55" i="158" s="1"/>
  <c r="E58" i="158"/>
  <c r="F58" i="158" s="1"/>
  <c r="E59" i="158"/>
  <c r="F59" i="158" s="1"/>
  <c r="E60" i="158"/>
  <c r="F60" i="158" s="1"/>
  <c r="E61" i="158"/>
  <c r="F61" i="158" s="1"/>
  <c r="E62" i="158"/>
  <c r="F62" i="158" s="1"/>
  <c r="E63" i="158"/>
  <c r="F63" i="158" s="1"/>
  <c r="E64" i="158"/>
  <c r="F64" i="158" s="1"/>
  <c r="E65" i="158"/>
  <c r="F65" i="158" s="1"/>
  <c r="E66" i="158"/>
  <c r="F66" i="158" s="1"/>
  <c r="E68" i="158"/>
  <c r="F68" i="158" s="1"/>
  <c r="E69" i="158"/>
  <c r="F69" i="158" s="1"/>
  <c r="E70" i="158"/>
  <c r="F70" i="158" s="1"/>
  <c r="E71" i="158"/>
  <c r="F71" i="158" s="1"/>
  <c r="E72" i="158"/>
  <c r="E73" i="158"/>
  <c r="F73" i="158" s="1"/>
  <c r="E75" i="158"/>
  <c r="F75" i="158" s="1"/>
  <c r="E76" i="158"/>
  <c r="F76" i="158" s="1"/>
  <c r="E77" i="158"/>
  <c r="F77" i="158" s="1"/>
  <c r="E78" i="158"/>
  <c r="F78" i="158" s="1"/>
  <c r="E80" i="158"/>
  <c r="F80" i="158" s="1"/>
  <c r="E81" i="158"/>
  <c r="F81" i="158"/>
  <c r="E86" i="158"/>
  <c r="F86" i="158" s="1"/>
  <c r="E87" i="158"/>
  <c r="F87" i="158" s="1"/>
  <c r="E90" i="158"/>
  <c r="F90" i="158" s="1"/>
  <c r="E91" i="158"/>
  <c r="F91" i="158" s="1"/>
  <c r="E93" i="158"/>
  <c r="F93" i="158" s="1"/>
  <c r="E94" i="158"/>
  <c r="F94" i="158" s="1"/>
  <c r="E95" i="158"/>
  <c r="F95" i="158" s="1"/>
  <c r="E98" i="158"/>
  <c r="F98" i="158" s="1"/>
  <c r="E99" i="158"/>
  <c r="F99" i="158" s="1"/>
  <c r="E23" i="158"/>
  <c r="F23" i="158" s="1"/>
  <c r="E24" i="158"/>
  <c r="F24" i="158"/>
  <c r="E25" i="158"/>
  <c r="F25" i="158" s="1"/>
  <c r="E26" i="158"/>
  <c r="F26" i="158" s="1"/>
  <c r="E27" i="158"/>
  <c r="F27" i="158" s="1"/>
  <c r="E28" i="158"/>
  <c r="F28" i="158" s="1"/>
  <c r="E30" i="158"/>
  <c r="F30" i="158" s="1"/>
  <c r="E31" i="158"/>
  <c r="F31" i="158" s="1"/>
  <c r="E32" i="158"/>
  <c r="F32" i="158" s="1"/>
  <c r="E33" i="158"/>
  <c r="F33" i="158" s="1"/>
  <c r="E34" i="158"/>
  <c r="F34" i="158" s="1"/>
  <c r="E36" i="158"/>
  <c r="F36" i="158" s="1"/>
  <c r="E39" i="158"/>
  <c r="F39" i="158" s="1"/>
  <c r="E40" i="158"/>
  <c r="F40" i="158" s="1"/>
  <c r="E46" i="158"/>
  <c r="F46" i="158" s="1"/>
  <c r="E47" i="158"/>
  <c r="F47" i="158" s="1"/>
  <c r="E48" i="158"/>
  <c r="F48" i="158" s="1"/>
  <c r="E49" i="158"/>
  <c r="F49" i="158" s="1"/>
  <c r="E11" i="158"/>
  <c r="F11" i="158" s="1"/>
  <c r="E8" i="158"/>
  <c r="F8" i="158" s="1"/>
  <c r="E9" i="158"/>
  <c r="F9" i="158" s="1"/>
  <c r="E10" i="158"/>
  <c r="F10" i="158" s="1"/>
  <c r="G70" i="153"/>
  <c r="H70" i="153" s="1"/>
  <c r="G65" i="153"/>
  <c r="H65" i="153" s="1"/>
  <c r="G64" i="153"/>
  <c r="H64" i="153" s="1"/>
  <c r="A65" i="153"/>
  <c r="A64" i="153"/>
  <c r="B89" i="36"/>
  <c r="C40" i="163" s="1"/>
  <c r="F40" i="163" s="1"/>
  <c r="G40" i="163" s="1"/>
  <c r="G54" i="153"/>
  <c r="H54" i="153" s="1"/>
  <c r="D17" i="154"/>
  <c r="E17" i="154" s="1"/>
  <c r="E29" i="152"/>
  <c r="B33" i="155"/>
  <c r="D33" i="155" s="1"/>
  <c r="E33" i="155" s="1"/>
  <c r="A56" i="155"/>
  <c r="C44" i="157"/>
  <c r="C38" i="157"/>
  <c r="B36" i="157" s="1"/>
  <c r="C26" i="157"/>
  <c r="B24" i="157" s="1"/>
  <c r="C20" i="157"/>
  <c r="B18" i="157" s="1"/>
  <c r="C14" i="157"/>
  <c r="B12" i="157" s="1"/>
  <c r="D12" i="157" s="1"/>
  <c r="E12" i="157" s="1"/>
  <c r="C8" i="157"/>
  <c r="B56" i="157"/>
  <c r="B41" i="157"/>
  <c r="B35" i="157"/>
  <c r="B23" i="157"/>
  <c r="B17" i="157"/>
  <c r="B11" i="157"/>
  <c r="C56" i="157"/>
  <c r="C41" i="157"/>
  <c r="C35" i="157"/>
  <c r="C23" i="157"/>
  <c r="C17" i="157"/>
  <c r="C11" i="157"/>
  <c r="D32" i="157"/>
  <c r="B33" i="157"/>
  <c r="D33" i="157" s="1"/>
  <c r="C62" i="155"/>
  <c r="C48" i="155"/>
  <c r="C23" i="155"/>
  <c r="C12" i="155"/>
  <c r="C35" i="154"/>
  <c r="C69" i="153"/>
  <c r="G69" i="153" s="1"/>
  <c r="H69" i="153" s="1"/>
  <c r="G59" i="153"/>
  <c r="H59" i="153" s="1"/>
  <c r="G46" i="153"/>
  <c r="H46" i="153" s="1"/>
  <c r="E76" i="152"/>
  <c r="E35" i="152"/>
  <c r="F10" i="152"/>
  <c r="B43" i="155" s="1"/>
  <c r="D43" i="155" s="1"/>
  <c r="E43" i="155" s="1"/>
  <c r="C86" i="57"/>
  <c r="I86" i="57" s="1"/>
  <c r="G55" i="153"/>
  <c r="H55" i="153" s="1"/>
  <c r="B57" i="108"/>
  <c r="F57" i="108" s="1"/>
  <c r="G47" i="153"/>
  <c r="H47" i="153" s="1"/>
  <c r="B70" i="108"/>
  <c r="C87" i="57"/>
  <c r="I87" i="57" s="1"/>
  <c r="J87" i="57" s="1"/>
  <c r="C77" i="57"/>
  <c r="I77" i="57" s="1"/>
  <c r="J77" i="57" s="1"/>
  <c r="C75" i="57"/>
  <c r="I75" i="57" s="1"/>
  <c r="C74" i="57"/>
  <c r="I74" i="57" s="1"/>
  <c r="G58" i="153"/>
  <c r="H58" i="153" s="1"/>
  <c r="G57" i="153"/>
  <c r="H57" i="153" s="1"/>
  <c r="C68" i="57"/>
  <c r="I68" i="57" s="1"/>
  <c r="J68" i="57" s="1"/>
  <c r="B56" i="108"/>
  <c r="F56" i="108" s="1"/>
  <c r="G44" i="153"/>
  <c r="H44" i="153" s="1"/>
  <c r="G51" i="153"/>
  <c r="H51" i="153" s="1"/>
  <c r="G50" i="153"/>
  <c r="H50" i="153" s="1"/>
  <c r="G49" i="153"/>
  <c r="H49" i="153" s="1"/>
  <c r="G48" i="153"/>
  <c r="H48" i="153" s="1"/>
  <c r="H45" i="153"/>
  <c r="C41" i="153"/>
  <c r="G41" i="153" s="1"/>
  <c r="H41" i="153" s="1"/>
  <c r="C39" i="153"/>
  <c r="G39" i="153" s="1"/>
  <c r="H39" i="153" s="1"/>
  <c r="C55" i="57"/>
  <c r="C84" i="57"/>
  <c r="I84" i="57" s="1"/>
  <c r="J84" i="57" s="1"/>
  <c r="C82" i="57"/>
  <c r="I82" i="57" s="1"/>
  <c r="J82" i="57" s="1"/>
  <c r="C62" i="57"/>
  <c r="I62" i="57" s="1"/>
  <c r="C60" i="57"/>
  <c r="B42" i="108"/>
  <c r="F42" i="108" s="1"/>
  <c r="C30" i="153"/>
  <c r="G30" i="153" s="1"/>
  <c r="H30" i="153" s="1"/>
  <c r="G37" i="153"/>
  <c r="H37" i="153" s="1"/>
  <c r="C38" i="57"/>
  <c r="I38" i="57" s="1"/>
  <c r="J38" i="57" s="1"/>
  <c r="B33" i="108"/>
  <c r="F33" i="108" s="1"/>
  <c r="C37" i="57"/>
  <c r="I37" i="57" s="1"/>
  <c r="J37" i="57" s="1"/>
  <c r="C28" i="153"/>
  <c r="G28" i="153" s="1"/>
  <c r="H28" i="153" s="1"/>
  <c r="C29" i="57"/>
  <c r="I29" i="57" s="1"/>
  <c r="J29" i="57" s="1"/>
  <c r="C26" i="153"/>
  <c r="G26" i="153" s="1"/>
  <c r="H26" i="153" s="1"/>
  <c r="C25" i="153"/>
  <c r="G25" i="153" s="1"/>
  <c r="H25" i="153" s="1"/>
  <c r="C24" i="153"/>
  <c r="B6" i="108"/>
  <c r="F6" i="108" s="1"/>
  <c r="D52" i="152"/>
  <c r="F52" i="152" s="1"/>
  <c r="G50" i="152"/>
  <c r="F14" i="152"/>
  <c r="B45" i="155" s="1"/>
  <c r="D45" i="155" s="1"/>
  <c r="E45" i="155" s="1"/>
  <c r="D19" i="50"/>
  <c r="N66" i="151"/>
  <c r="N75" i="151"/>
  <c r="N39" i="151"/>
  <c r="N17" i="151"/>
  <c r="N10" i="151"/>
  <c r="J95" i="151"/>
  <c r="I95" i="151"/>
  <c r="I94" i="151"/>
  <c r="J94" i="151" s="1"/>
  <c r="N93" i="151"/>
  <c r="N85" i="151"/>
  <c r="I84" i="151"/>
  <c r="J84" i="151" s="1"/>
  <c r="N83" i="151"/>
  <c r="N82" i="151"/>
  <c r="L81" i="151"/>
  <c r="N80" i="151"/>
  <c r="N79" i="151"/>
  <c r="I78" i="151"/>
  <c r="J78" i="151" s="1"/>
  <c r="N77" i="151"/>
  <c r="I75" i="151"/>
  <c r="J75" i="151" s="1"/>
  <c r="N71" i="151"/>
  <c r="N70" i="151"/>
  <c r="I69" i="151"/>
  <c r="J69" i="151" s="1"/>
  <c r="N68" i="151"/>
  <c r="N67" i="151"/>
  <c r="I66" i="151"/>
  <c r="J66" i="151" s="1"/>
  <c r="I65" i="151"/>
  <c r="J65" i="151" s="1"/>
  <c r="N64" i="151"/>
  <c r="N63" i="151"/>
  <c r="I62" i="151"/>
  <c r="J62" i="151" s="1"/>
  <c r="N61" i="151"/>
  <c r="N60" i="151"/>
  <c r="N59" i="151"/>
  <c r="N57" i="151"/>
  <c r="N56" i="151"/>
  <c r="N55" i="151"/>
  <c r="I54" i="151"/>
  <c r="J54" i="151" s="1"/>
  <c r="N53" i="151"/>
  <c r="N52" i="151"/>
  <c r="I51" i="151"/>
  <c r="J51" i="151" s="1"/>
  <c r="N50" i="151"/>
  <c r="I49" i="151"/>
  <c r="J49" i="151" s="1"/>
  <c r="N48" i="151"/>
  <c r="N47" i="151"/>
  <c r="I46" i="151"/>
  <c r="J46" i="151" s="1"/>
  <c r="N45" i="151"/>
  <c r="I39" i="151"/>
  <c r="I37" i="151"/>
  <c r="J37" i="151" s="1"/>
  <c r="I36" i="151"/>
  <c r="J36" i="151" s="1"/>
  <c r="N35" i="151"/>
  <c r="F34" i="151"/>
  <c r="N34" i="151"/>
  <c r="N33" i="151"/>
  <c r="F32" i="151"/>
  <c r="F31" i="151"/>
  <c r="N31" i="151"/>
  <c r="N30" i="151"/>
  <c r="N29" i="151"/>
  <c r="N28" i="151"/>
  <c r="N27" i="151"/>
  <c r="I26" i="151"/>
  <c r="J26" i="151" s="1"/>
  <c r="F25" i="151"/>
  <c r="C74" i="151"/>
  <c r="F19" i="151"/>
  <c r="N18" i="151"/>
  <c r="I17" i="151"/>
  <c r="J17" i="151" s="1"/>
  <c r="I16" i="151"/>
  <c r="J16" i="151" s="1"/>
  <c r="F15" i="151"/>
  <c r="F24" i="151" s="1"/>
  <c r="F44" i="151" s="1"/>
  <c r="F92" i="151" s="1"/>
  <c r="C15" i="151"/>
  <c r="C24" i="151" s="1"/>
  <c r="C44" i="151" s="1"/>
  <c r="C92" i="151" s="1"/>
  <c r="F9" i="151"/>
  <c r="F11" i="151" s="1"/>
  <c r="N9" i="151"/>
  <c r="F91" i="57"/>
  <c r="G91" i="57" s="1"/>
  <c r="C72" i="57"/>
  <c r="I72" i="57" s="1"/>
  <c r="C51" i="57"/>
  <c r="I51" i="57" s="1"/>
  <c r="C48" i="57"/>
  <c r="I48" i="57" s="1"/>
  <c r="J48" i="57" s="1"/>
  <c r="C85" i="57"/>
  <c r="I85" i="57" s="1"/>
  <c r="B124" i="36"/>
  <c r="J45" i="146"/>
  <c r="I45" i="146"/>
  <c r="G20" i="63"/>
  <c r="G34" i="63" s="1"/>
  <c r="C57" i="57"/>
  <c r="I57" i="57" s="1"/>
  <c r="J57" i="57" s="1"/>
  <c r="N75" i="140"/>
  <c r="N66" i="140"/>
  <c r="N39" i="140"/>
  <c r="N17" i="140"/>
  <c r="N10" i="140"/>
  <c r="A72" i="57"/>
  <c r="B68" i="2"/>
  <c r="F41" i="57"/>
  <c r="C46" i="57"/>
  <c r="I46" i="57" s="1"/>
  <c r="J46" i="57" s="1"/>
  <c r="D56" i="50"/>
  <c r="D93" i="50" s="1"/>
  <c r="S35" i="63"/>
  <c r="S28" i="63"/>
  <c r="S24" i="63"/>
  <c r="C90" i="57"/>
  <c r="I90" i="57" s="1"/>
  <c r="C66" i="57"/>
  <c r="I66" i="57" s="1"/>
  <c r="I78" i="57"/>
  <c r="A74" i="57"/>
  <c r="A78" i="57"/>
  <c r="A51" i="57"/>
  <c r="A40" i="57"/>
  <c r="F45" i="57"/>
  <c r="F98" i="57"/>
  <c r="C45" i="57"/>
  <c r="C98" i="57"/>
  <c r="F24" i="57"/>
  <c r="F15" i="57"/>
  <c r="C24" i="57"/>
  <c r="C15" i="57"/>
  <c r="C11" i="140"/>
  <c r="F9" i="140"/>
  <c r="C15" i="140"/>
  <c r="C24" i="140" s="1"/>
  <c r="C44" i="140" s="1"/>
  <c r="C92" i="140" s="1"/>
  <c r="F15" i="140"/>
  <c r="F24" i="140" s="1"/>
  <c r="F44" i="140" s="1"/>
  <c r="F92" i="140" s="1"/>
  <c r="I17" i="140"/>
  <c r="J17" i="140" s="1"/>
  <c r="N18" i="140"/>
  <c r="F19" i="140"/>
  <c r="F111" i="140" s="1"/>
  <c r="C73" i="140"/>
  <c r="N73" i="140" s="1"/>
  <c r="F25" i="140"/>
  <c r="I25" i="140" s="1"/>
  <c r="J25" i="140" s="1"/>
  <c r="N26" i="140"/>
  <c r="I27" i="140"/>
  <c r="J27" i="140" s="1"/>
  <c r="N28" i="140"/>
  <c r="N29" i="140"/>
  <c r="I30" i="140"/>
  <c r="J30" i="140" s="1"/>
  <c r="N31" i="140"/>
  <c r="F31" i="140"/>
  <c r="N32" i="140"/>
  <c r="F32" i="140"/>
  <c r="N33" i="140"/>
  <c r="N34" i="140"/>
  <c r="F34" i="140"/>
  <c r="I35" i="140"/>
  <c r="J35" i="140" s="1"/>
  <c r="N36" i="140"/>
  <c r="N37" i="140"/>
  <c r="N38" i="140"/>
  <c r="I39" i="140"/>
  <c r="N45" i="140"/>
  <c r="N46" i="140"/>
  <c r="I47" i="140"/>
  <c r="J47" i="140" s="1"/>
  <c r="N48" i="140"/>
  <c r="I49" i="140"/>
  <c r="J49" i="140" s="1"/>
  <c r="N50" i="140"/>
  <c r="N51" i="140"/>
  <c r="N52" i="140"/>
  <c r="I53" i="140"/>
  <c r="J53" i="140" s="1"/>
  <c r="N54" i="140"/>
  <c r="N55" i="140"/>
  <c r="N56" i="140"/>
  <c r="N58" i="140"/>
  <c r="N59" i="140"/>
  <c r="I60" i="140"/>
  <c r="J60" i="140" s="1"/>
  <c r="N62" i="140"/>
  <c r="I63" i="140"/>
  <c r="J63" i="140" s="1"/>
  <c r="N64" i="140"/>
  <c r="I66" i="140"/>
  <c r="J66" i="140" s="1"/>
  <c r="N67" i="140"/>
  <c r="N68" i="140"/>
  <c r="N69" i="140"/>
  <c r="I70" i="140"/>
  <c r="J70" i="140" s="1"/>
  <c r="I71" i="140"/>
  <c r="J71" i="140" s="1"/>
  <c r="I75" i="140"/>
  <c r="J75" i="140" s="1"/>
  <c r="N78" i="140"/>
  <c r="I79" i="140"/>
  <c r="J79" i="140" s="1"/>
  <c r="N80" i="140"/>
  <c r="I81" i="140"/>
  <c r="J81" i="140" s="1"/>
  <c r="N82" i="140"/>
  <c r="I83" i="140"/>
  <c r="J83" i="140" s="1"/>
  <c r="N84" i="140"/>
  <c r="N85" i="140"/>
  <c r="N93" i="140"/>
  <c r="I94" i="140"/>
  <c r="J94" i="140" s="1"/>
  <c r="I95" i="140"/>
  <c r="J95" i="140"/>
  <c r="B68" i="108"/>
  <c r="F68" i="108" s="1"/>
  <c r="F101" i="57"/>
  <c r="G101" i="57" s="1"/>
  <c r="I34" i="57"/>
  <c r="F19" i="57"/>
  <c r="F20" i="57" s="1"/>
  <c r="G20" i="57" s="1"/>
  <c r="F11" i="57"/>
  <c r="D118" i="50"/>
  <c r="D119" i="50" s="1"/>
  <c r="I88" i="57"/>
  <c r="L91" i="126"/>
  <c r="L94" i="126" s="1"/>
  <c r="L45" i="126"/>
  <c r="L46" i="126"/>
  <c r="L47" i="126"/>
  <c r="L48" i="126"/>
  <c r="L49" i="126"/>
  <c r="L50" i="126"/>
  <c r="L51" i="126"/>
  <c r="L52" i="126"/>
  <c r="L53" i="126"/>
  <c r="L54" i="126"/>
  <c r="L55" i="126"/>
  <c r="L56" i="126"/>
  <c r="L57" i="126"/>
  <c r="L58" i="126"/>
  <c r="L59" i="126"/>
  <c r="L60" i="126"/>
  <c r="L61" i="126"/>
  <c r="L62" i="126"/>
  <c r="L63" i="126"/>
  <c r="L64" i="126"/>
  <c r="L65" i="126"/>
  <c r="L66" i="126"/>
  <c r="L67" i="126"/>
  <c r="L68" i="126"/>
  <c r="L69" i="126"/>
  <c r="L70" i="126"/>
  <c r="L71" i="126"/>
  <c r="L72" i="126"/>
  <c r="L73" i="126"/>
  <c r="L74" i="126"/>
  <c r="L75" i="126"/>
  <c r="L76" i="126"/>
  <c r="L77" i="126"/>
  <c r="L78" i="126"/>
  <c r="L79" i="126"/>
  <c r="L80" i="126"/>
  <c r="L81" i="126"/>
  <c r="L82" i="126"/>
  <c r="L83" i="126"/>
  <c r="L44" i="126"/>
  <c r="L26" i="126"/>
  <c r="L27" i="126"/>
  <c r="L28" i="126"/>
  <c r="L29" i="126"/>
  <c r="L30" i="126"/>
  <c r="L31" i="126"/>
  <c r="L39" i="126" s="1"/>
  <c r="L32" i="126"/>
  <c r="L33" i="126"/>
  <c r="L34" i="126"/>
  <c r="L35" i="126"/>
  <c r="L36" i="126"/>
  <c r="L37" i="126"/>
  <c r="L38" i="126"/>
  <c r="L25" i="126"/>
  <c r="L17" i="126"/>
  <c r="L16" i="126"/>
  <c r="L9" i="126"/>
  <c r="I40" i="57"/>
  <c r="I79" i="57"/>
  <c r="B59" i="108"/>
  <c r="F59" i="108" s="1"/>
  <c r="A79" i="108"/>
  <c r="J68" i="108"/>
  <c r="K68" i="108" s="1"/>
  <c r="D27" i="108"/>
  <c r="G27" i="108" s="1"/>
  <c r="H27" i="108" s="1"/>
  <c r="D70" i="108"/>
  <c r="D67" i="108"/>
  <c r="J67" i="108" s="1"/>
  <c r="K67" i="108" s="1"/>
  <c r="D66" i="108"/>
  <c r="G66" i="108" s="1"/>
  <c r="H66" i="108" s="1"/>
  <c r="D30" i="108"/>
  <c r="G30" i="108" s="1"/>
  <c r="H30" i="108" s="1"/>
  <c r="D28" i="108"/>
  <c r="G28" i="108" s="1"/>
  <c r="H28" i="108" s="1"/>
  <c r="D21" i="108"/>
  <c r="G21" i="108" s="1"/>
  <c r="H21" i="108" s="1"/>
  <c r="E10" i="85"/>
  <c r="E11" i="85"/>
  <c r="E12" i="85"/>
  <c r="E13" i="85"/>
  <c r="A23" i="85"/>
  <c r="A25" i="85"/>
  <c r="A27" i="85"/>
  <c r="J4" i="84"/>
  <c r="I10" i="84" s="1"/>
  <c r="I15" i="84" s="1"/>
  <c r="J5" i="84"/>
  <c r="I11" i="84" s="1"/>
  <c r="I16" i="84" s="1"/>
  <c r="B10" i="84"/>
  <c r="B15" i="84" s="1"/>
  <c r="C10" i="84"/>
  <c r="C15" i="84" s="1"/>
  <c r="D10" i="84"/>
  <c r="D15" i="84" s="1"/>
  <c r="E10" i="84"/>
  <c r="E15" i="84" s="1"/>
  <c r="F10" i="84"/>
  <c r="F15" i="84" s="1"/>
  <c r="G10" i="84"/>
  <c r="G15" i="84" s="1"/>
  <c r="H10" i="84"/>
  <c r="H15" i="84" s="1"/>
  <c r="B11" i="84"/>
  <c r="B16" i="84" s="1"/>
  <c r="C11" i="84"/>
  <c r="C16" i="84" s="1"/>
  <c r="D11" i="84"/>
  <c r="D16" i="84" s="1"/>
  <c r="E11" i="84"/>
  <c r="E16" i="84" s="1"/>
  <c r="F11" i="84"/>
  <c r="F16" i="84" s="1"/>
  <c r="G11" i="84"/>
  <c r="G16" i="84" s="1"/>
  <c r="H11" i="84"/>
  <c r="H16" i="84" s="1"/>
  <c r="B17" i="84"/>
  <c r="C17" i="84" s="1"/>
  <c r="D17" i="84" s="1"/>
  <c r="E17" i="84" s="1"/>
  <c r="F17" i="84" s="1"/>
  <c r="G17" i="84" s="1"/>
  <c r="H17" i="84" s="1"/>
  <c r="I17" i="84" s="1"/>
  <c r="J17" i="84" s="1"/>
  <c r="K17" i="84" s="1"/>
  <c r="L17" i="84" s="1"/>
  <c r="M17" i="84" s="1"/>
  <c r="B18" i="84"/>
  <c r="C18" i="84" s="1"/>
  <c r="D18" i="84" s="1"/>
  <c r="E18" i="84" s="1"/>
  <c r="F18" i="84" s="1"/>
  <c r="G18" i="84" s="1"/>
  <c r="H18" i="84" s="1"/>
  <c r="I18" i="84" s="1"/>
  <c r="J18" i="84" s="1"/>
  <c r="K18" i="84" s="1"/>
  <c r="L18" i="84" s="1"/>
  <c r="M18" i="84" s="1"/>
  <c r="E20" i="84"/>
  <c r="J27" i="84"/>
  <c r="J29" i="84"/>
  <c r="I9" i="126"/>
  <c r="J9" i="126" s="1"/>
  <c r="I10" i="126"/>
  <c r="J10" i="126" s="1"/>
  <c r="L10" i="126"/>
  <c r="C11" i="126"/>
  <c r="D51" i="126" s="1"/>
  <c r="F11" i="126"/>
  <c r="G53" i="126" s="1"/>
  <c r="C15" i="126"/>
  <c r="C24" i="126" s="1"/>
  <c r="C43" i="126" s="1"/>
  <c r="C90" i="126" s="1"/>
  <c r="F15" i="126"/>
  <c r="F24" i="126" s="1"/>
  <c r="F43" i="126" s="1"/>
  <c r="F90" i="126" s="1"/>
  <c r="L15" i="126"/>
  <c r="L24" i="126" s="1"/>
  <c r="L43" i="126" s="1"/>
  <c r="L90" i="126" s="1"/>
  <c r="I16" i="126"/>
  <c r="J16" i="126" s="1"/>
  <c r="I17" i="126"/>
  <c r="J17" i="126" s="1"/>
  <c r="C18" i="126"/>
  <c r="L18" i="126" s="1"/>
  <c r="F19" i="126"/>
  <c r="I25" i="126"/>
  <c r="J25" i="126" s="1"/>
  <c r="I26" i="126"/>
  <c r="J26" i="126" s="1"/>
  <c r="I27" i="126"/>
  <c r="J27" i="126" s="1"/>
  <c r="I28" i="126"/>
  <c r="J28" i="126" s="1"/>
  <c r="I29" i="126"/>
  <c r="J29" i="126" s="1"/>
  <c r="I30" i="126"/>
  <c r="J30" i="126" s="1"/>
  <c r="I31" i="126"/>
  <c r="J31" i="126" s="1"/>
  <c r="I32" i="126"/>
  <c r="I33" i="126"/>
  <c r="I34" i="126"/>
  <c r="J34" i="126" s="1"/>
  <c r="I35" i="126"/>
  <c r="J35" i="126" s="1"/>
  <c r="I36" i="126"/>
  <c r="J36" i="126" s="1"/>
  <c r="I37" i="126"/>
  <c r="J37" i="126" s="1"/>
  <c r="I38" i="126"/>
  <c r="J38" i="126" s="1"/>
  <c r="C39" i="126"/>
  <c r="F39" i="126"/>
  <c r="I44" i="126"/>
  <c r="J44" i="126" s="1"/>
  <c r="I45" i="126"/>
  <c r="J45" i="126" s="1"/>
  <c r="I46" i="126"/>
  <c r="J46" i="126" s="1"/>
  <c r="I47" i="126"/>
  <c r="I48" i="126"/>
  <c r="J48" i="126" s="1"/>
  <c r="I49" i="126"/>
  <c r="I50" i="126"/>
  <c r="J50" i="126" s="1"/>
  <c r="I51" i="126"/>
  <c r="J51" i="126" s="1"/>
  <c r="I52" i="126"/>
  <c r="J52" i="126" s="1"/>
  <c r="I53" i="126"/>
  <c r="J53" i="126" s="1"/>
  <c r="I54" i="126"/>
  <c r="J54" i="126" s="1"/>
  <c r="I55" i="126"/>
  <c r="J55" i="126" s="1"/>
  <c r="I56" i="126"/>
  <c r="J56" i="126" s="1"/>
  <c r="I57" i="126"/>
  <c r="I58" i="126"/>
  <c r="J58" i="126" s="1"/>
  <c r="I59" i="126"/>
  <c r="I60" i="126"/>
  <c r="I61" i="126"/>
  <c r="J61" i="126" s="1"/>
  <c r="I62" i="126"/>
  <c r="I63" i="126"/>
  <c r="J63" i="126" s="1"/>
  <c r="I64" i="126"/>
  <c r="J64" i="126" s="1"/>
  <c r="I65" i="126"/>
  <c r="J65" i="126" s="1"/>
  <c r="I66" i="126"/>
  <c r="J66" i="126" s="1"/>
  <c r="I67" i="126"/>
  <c r="I68" i="126"/>
  <c r="J68" i="126" s="1"/>
  <c r="I69" i="126"/>
  <c r="J69" i="126" s="1"/>
  <c r="I70" i="126"/>
  <c r="I71" i="126"/>
  <c r="J71" i="126" s="1"/>
  <c r="I72" i="126"/>
  <c r="J72" i="126" s="1"/>
  <c r="I73" i="126"/>
  <c r="F74" i="126"/>
  <c r="I74" i="126" s="1"/>
  <c r="J74" i="126" s="1"/>
  <c r="I75" i="126"/>
  <c r="I76" i="126"/>
  <c r="J76" i="126" s="1"/>
  <c r="I77" i="126"/>
  <c r="J77" i="126" s="1"/>
  <c r="I78" i="126"/>
  <c r="J78" i="126" s="1"/>
  <c r="I79" i="126"/>
  <c r="I80" i="126"/>
  <c r="I81" i="126"/>
  <c r="C84" i="126"/>
  <c r="I91" i="126"/>
  <c r="J91" i="126" s="1"/>
  <c r="I92" i="126"/>
  <c r="J92" i="126"/>
  <c r="I93" i="126"/>
  <c r="J93" i="126"/>
  <c r="C94" i="126"/>
  <c r="F94" i="126"/>
  <c r="D7" i="108"/>
  <c r="D16" i="108" s="1"/>
  <c r="D15" i="108"/>
  <c r="G22" i="108"/>
  <c r="H22" i="108" s="1"/>
  <c r="G23" i="108"/>
  <c r="H23" i="108"/>
  <c r="G24" i="108"/>
  <c r="H24" i="108" s="1"/>
  <c r="G25" i="108"/>
  <c r="H25" i="108" s="1"/>
  <c r="G26" i="108"/>
  <c r="H26" i="108" s="1"/>
  <c r="G29" i="108"/>
  <c r="H29" i="108" s="1"/>
  <c r="G31" i="108"/>
  <c r="H31" i="108" s="1"/>
  <c r="G32" i="108"/>
  <c r="H32" i="108" s="1"/>
  <c r="G33" i="108"/>
  <c r="H33" i="108" s="1"/>
  <c r="G34" i="108"/>
  <c r="H34" i="108" s="1"/>
  <c r="G40" i="108"/>
  <c r="H40" i="108" s="1"/>
  <c r="G41" i="108"/>
  <c r="H41" i="108" s="1"/>
  <c r="G42" i="108"/>
  <c r="H42" i="108" s="1"/>
  <c r="G43" i="108"/>
  <c r="H43" i="108" s="1"/>
  <c r="G44" i="108"/>
  <c r="H44" i="108" s="1"/>
  <c r="G45" i="108"/>
  <c r="H45" i="108" s="1"/>
  <c r="G46" i="108"/>
  <c r="H46" i="108" s="1"/>
  <c r="G47" i="108"/>
  <c r="H47" i="108" s="1"/>
  <c r="G48" i="108"/>
  <c r="H48" i="108" s="1"/>
  <c r="G49" i="108"/>
  <c r="H49" i="108" s="1"/>
  <c r="G50" i="108"/>
  <c r="H50" i="108" s="1"/>
  <c r="G51" i="108"/>
  <c r="H51" i="108" s="1"/>
  <c r="G52" i="108"/>
  <c r="H52" i="108" s="1"/>
  <c r="G53" i="108"/>
  <c r="H53" i="108" s="1"/>
  <c r="G54" i="108"/>
  <c r="H54" i="108" s="1"/>
  <c r="G55" i="108"/>
  <c r="H55" i="108" s="1"/>
  <c r="G56" i="108"/>
  <c r="H56" i="108" s="1"/>
  <c r="G57" i="108"/>
  <c r="H57" i="108" s="1"/>
  <c r="G58" i="108"/>
  <c r="H58" i="108" s="1"/>
  <c r="G59" i="108"/>
  <c r="H59" i="108" s="1"/>
  <c r="G60" i="108"/>
  <c r="H60" i="108" s="1"/>
  <c r="G61" i="108"/>
  <c r="H61" i="108" s="1"/>
  <c r="G62" i="108"/>
  <c r="H62" i="108" s="1"/>
  <c r="G63" i="108"/>
  <c r="H63" i="108" s="1"/>
  <c r="G64" i="108"/>
  <c r="H64" i="108" s="1"/>
  <c r="G65" i="108"/>
  <c r="H65" i="108" s="1"/>
  <c r="G68" i="108"/>
  <c r="H68" i="108" s="1"/>
  <c r="B69" i="108"/>
  <c r="F69" i="108" s="1"/>
  <c r="G69" i="108"/>
  <c r="H69" i="108" s="1"/>
  <c r="G71" i="108"/>
  <c r="H71" i="108" s="1"/>
  <c r="G72" i="108"/>
  <c r="H72" i="108" s="1"/>
  <c r="G73" i="108"/>
  <c r="H73" i="108" s="1"/>
  <c r="G74" i="108"/>
  <c r="H74" i="108" s="1"/>
  <c r="B75" i="108"/>
  <c r="F75" i="108" s="1"/>
  <c r="G75" i="108"/>
  <c r="H75" i="108" s="1"/>
  <c r="G76" i="108"/>
  <c r="H76" i="108" s="1"/>
  <c r="G77" i="108"/>
  <c r="H77" i="108" s="1"/>
  <c r="F90" i="108"/>
  <c r="D91" i="108"/>
  <c r="F14" i="107"/>
  <c r="F9" i="107"/>
  <c r="F33" i="107"/>
  <c r="F37" i="107"/>
  <c r="F41" i="107"/>
  <c r="F47" i="107"/>
  <c r="F51" i="107"/>
  <c r="F59" i="107"/>
  <c r="G76" i="107"/>
  <c r="C88" i="107"/>
  <c r="E95" i="107"/>
  <c r="F95" i="107" s="1"/>
  <c r="C95" i="107"/>
  <c r="C122" i="107"/>
  <c r="C124" i="107" s="1"/>
  <c r="H12" i="73"/>
  <c r="H20" i="73" s="1"/>
  <c r="H34" i="73" s="1"/>
  <c r="I12" i="73"/>
  <c r="I20" i="73" s="1"/>
  <c r="J12" i="73"/>
  <c r="Q22" i="73"/>
  <c r="U23" i="73"/>
  <c r="E24" i="73"/>
  <c r="U24" i="73"/>
  <c r="R25" i="73"/>
  <c r="R26" i="73"/>
  <c r="U27" i="73"/>
  <c r="E28" i="73"/>
  <c r="U28" i="73"/>
  <c r="E29" i="73"/>
  <c r="U29" i="73"/>
  <c r="U30" i="73"/>
  <c r="E35" i="73"/>
  <c r="U35" i="73"/>
  <c r="U36" i="73"/>
  <c r="D43" i="73"/>
  <c r="D44" i="73"/>
  <c r="E4" i="65"/>
  <c r="F5" i="65"/>
  <c r="F6" i="65"/>
  <c r="F7" i="65"/>
  <c r="F8" i="65"/>
  <c r="F9" i="65"/>
  <c r="F10" i="65"/>
  <c r="D12" i="65"/>
  <c r="H7" i="12"/>
  <c r="H8" i="12"/>
  <c r="H13" i="12"/>
  <c r="H14" i="12"/>
  <c r="H15" i="12"/>
  <c r="H16" i="12"/>
  <c r="H21" i="12"/>
  <c r="O22" i="12"/>
  <c r="S23" i="12"/>
  <c r="E24" i="12"/>
  <c r="S24" i="12"/>
  <c r="H27" i="12"/>
  <c r="S27" i="12"/>
  <c r="E28" i="12"/>
  <c r="S28" i="12"/>
  <c r="E29" i="12"/>
  <c r="S29" i="12"/>
  <c r="S30" i="12"/>
  <c r="E35" i="12"/>
  <c r="H35" i="12"/>
  <c r="S35" i="12"/>
  <c r="H36" i="12"/>
  <c r="S36" i="12"/>
  <c r="H37" i="12"/>
  <c r="H38" i="12"/>
  <c r="H39" i="12"/>
  <c r="H40" i="12"/>
  <c r="D43" i="12"/>
  <c r="D44" i="12"/>
  <c r="I8" i="69"/>
  <c r="I11" i="69"/>
  <c r="F16" i="69"/>
  <c r="L17" i="69"/>
  <c r="L19" i="69" s="1"/>
  <c r="I20" i="69"/>
  <c r="I21" i="69"/>
  <c r="I22" i="69"/>
  <c r="C29" i="69"/>
  <c r="C30" i="69" s="1"/>
  <c r="C37" i="69"/>
  <c r="D37" i="69"/>
  <c r="R22" i="63"/>
  <c r="S25" i="63"/>
  <c r="S26" i="63"/>
  <c r="V29" i="63"/>
  <c r="V30" i="63"/>
  <c r="V35" i="63"/>
  <c r="V36" i="63"/>
  <c r="D43" i="63"/>
  <c r="D44" i="63"/>
  <c r="I45" i="86"/>
  <c r="J45" i="86"/>
  <c r="I45" i="70"/>
  <c r="J45" i="70"/>
  <c r="G76" i="57"/>
  <c r="A100" i="57"/>
  <c r="C8" i="71"/>
  <c r="E14" i="32"/>
  <c r="F14" i="32"/>
  <c r="B10" i="2"/>
  <c r="C10" i="2"/>
  <c r="D10" i="2"/>
  <c r="E10" i="2"/>
  <c r="F10" i="2"/>
  <c r="D18" i="2"/>
  <c r="E18" i="2"/>
  <c r="F18" i="2"/>
  <c r="C33" i="2"/>
  <c r="E33" i="2"/>
  <c r="C34" i="2"/>
  <c r="E34" i="2"/>
  <c r="E36" i="2"/>
  <c r="C42" i="2"/>
  <c r="E42" i="2"/>
  <c r="D44" i="2"/>
  <c r="E44" i="2"/>
  <c r="F44" i="2"/>
  <c r="C47" i="2"/>
  <c r="D47" i="2"/>
  <c r="E47" i="2"/>
  <c r="B60" i="2"/>
  <c r="E64" i="2"/>
  <c r="D75" i="2"/>
  <c r="D77" i="2" s="1"/>
  <c r="E77" i="2"/>
  <c r="E80" i="2"/>
  <c r="B83" i="2"/>
  <c r="D83" i="2"/>
  <c r="E83" i="2"/>
  <c r="A3" i="36"/>
  <c r="B24" i="36"/>
  <c r="B44" i="36" s="1"/>
  <c r="B96" i="36"/>
  <c r="D45" i="50"/>
  <c r="G49" i="57"/>
  <c r="I94" i="126"/>
  <c r="D69" i="126"/>
  <c r="D73" i="126"/>
  <c r="D66" i="126"/>
  <c r="D55" i="126"/>
  <c r="F84" i="126"/>
  <c r="G17" i="57"/>
  <c r="G63" i="57"/>
  <c r="G77" i="57"/>
  <c r="D16" i="126"/>
  <c r="D72" i="126"/>
  <c r="G16" i="57"/>
  <c r="G66" i="57"/>
  <c r="G82" i="57"/>
  <c r="G46" i="57"/>
  <c r="G64" i="57"/>
  <c r="G78" i="126"/>
  <c r="G35" i="57"/>
  <c r="G51" i="57"/>
  <c r="G68" i="57"/>
  <c r="G36" i="57"/>
  <c r="G81" i="57"/>
  <c r="G58" i="57"/>
  <c r="D18" i="126"/>
  <c r="G56" i="57"/>
  <c r="B49" i="108"/>
  <c r="F49" i="108" s="1"/>
  <c r="B51" i="108"/>
  <c r="F51" i="108" s="1"/>
  <c r="G69" i="57"/>
  <c r="G50" i="57"/>
  <c r="B41" i="108"/>
  <c r="F41" i="108" s="1"/>
  <c r="B55" i="108"/>
  <c r="F55" i="108" s="1"/>
  <c r="B40" i="108"/>
  <c r="F40" i="108" s="1"/>
  <c r="I18" i="126"/>
  <c r="J18" i="126" s="1"/>
  <c r="C56" i="57"/>
  <c r="I56" i="57" s="1"/>
  <c r="J56" i="57" s="1"/>
  <c r="G90" i="57"/>
  <c r="B50" i="108"/>
  <c r="B32" i="108"/>
  <c r="F32" i="108" s="1"/>
  <c r="V23" i="63"/>
  <c r="V28" i="63"/>
  <c r="V27" i="63"/>
  <c r="V24" i="63"/>
  <c r="G78" i="57"/>
  <c r="G27" i="57"/>
  <c r="G57" i="57"/>
  <c r="G65" i="57"/>
  <c r="G18" i="57"/>
  <c r="G73" i="57"/>
  <c r="G55" i="57"/>
  <c r="G70" i="57"/>
  <c r="G87" i="57"/>
  <c r="G40" i="57"/>
  <c r="G30" i="57"/>
  <c r="G54" i="57"/>
  <c r="G88" i="57"/>
  <c r="G29" i="57"/>
  <c r="G25" i="57"/>
  <c r="G80" i="57"/>
  <c r="G28" i="57"/>
  <c r="G72" i="57"/>
  <c r="G34" i="57"/>
  <c r="G41" i="57"/>
  <c r="G31" i="57"/>
  <c r="G85" i="57"/>
  <c r="G48" i="57"/>
  <c r="G59" i="57"/>
  <c r="G39" i="57"/>
  <c r="G61" i="57"/>
  <c r="G86" i="57"/>
  <c r="G99" i="57"/>
  <c r="G11" i="57"/>
  <c r="G53" i="57"/>
  <c r="G79" i="57"/>
  <c r="G32" i="57"/>
  <c r="G52" i="57"/>
  <c r="G89" i="57"/>
  <c r="G74" i="57"/>
  <c r="G38" i="57"/>
  <c r="G60" i="57"/>
  <c r="G47" i="57"/>
  <c r="G9" i="57"/>
  <c r="G37" i="57"/>
  <c r="G26" i="57"/>
  <c r="G84" i="57"/>
  <c r="G62" i="57"/>
  <c r="G75" i="57"/>
  <c r="G33" i="57"/>
  <c r="G67" i="57"/>
  <c r="G83" i="57"/>
  <c r="G71" i="57"/>
  <c r="B61" i="108"/>
  <c r="F61" i="108" s="1"/>
  <c r="B48" i="108"/>
  <c r="F48" i="108" s="1"/>
  <c r="C80" i="57"/>
  <c r="I80" i="57" s="1"/>
  <c r="L80" i="57" s="1"/>
  <c r="C28" i="57"/>
  <c r="I28" i="57" s="1"/>
  <c r="J28" i="57" s="1"/>
  <c r="B14" i="108"/>
  <c r="F14" i="108" s="1"/>
  <c r="F113" i="57"/>
  <c r="K25" i="146"/>
  <c r="C32" i="57"/>
  <c r="I32" i="57" s="1"/>
  <c r="B54" i="108"/>
  <c r="F54" i="108" s="1"/>
  <c r="B62" i="108"/>
  <c r="F62" i="108" s="1"/>
  <c r="B67" i="108"/>
  <c r="B74" i="108"/>
  <c r="F74" i="108" s="1"/>
  <c r="B25" i="108"/>
  <c r="F25" i="108" s="1"/>
  <c r="B77" i="108"/>
  <c r="F77" i="108" s="1"/>
  <c r="C39" i="57"/>
  <c r="I39" i="57" s="1"/>
  <c r="J39" i="57" s="1"/>
  <c r="C25" i="57"/>
  <c r="I25" i="57" s="1"/>
  <c r="J25" i="57" s="1"/>
  <c r="C35" i="57"/>
  <c r="I35" i="57" s="1"/>
  <c r="J35" i="57" s="1"/>
  <c r="B34" i="108"/>
  <c r="F34" i="108" s="1"/>
  <c r="C59" i="57"/>
  <c r="I59" i="57" s="1"/>
  <c r="J59" i="57" s="1"/>
  <c r="B53" i="108"/>
  <c r="F53" i="108" s="1"/>
  <c r="C26" i="57"/>
  <c r="I26" i="57" s="1"/>
  <c r="J26" i="57" s="1"/>
  <c r="C54" i="57"/>
  <c r="I54" i="57" s="1"/>
  <c r="J54" i="57" s="1"/>
  <c r="C63" i="57"/>
  <c r="I63" i="57" s="1"/>
  <c r="B24" i="108"/>
  <c r="F24" i="108" s="1"/>
  <c r="B5" i="108"/>
  <c r="F5" i="108" s="1"/>
  <c r="C69" i="57"/>
  <c r="I69" i="57" s="1"/>
  <c r="J69" i="57" s="1"/>
  <c r="C31" i="57"/>
  <c r="I31" i="57" s="1"/>
  <c r="J31" i="57" s="1"/>
  <c r="C16" i="57"/>
  <c r="I16" i="57" s="1"/>
  <c r="J16" i="57" s="1"/>
  <c r="F6" i="69"/>
  <c r="I6" i="69" s="1"/>
  <c r="C50" i="57"/>
  <c r="I50" i="57" s="1"/>
  <c r="J50" i="57" s="1"/>
  <c r="B63" i="108"/>
  <c r="F63" i="108" s="1"/>
  <c r="B23" i="108"/>
  <c r="F23" i="108" s="1"/>
  <c r="C53" i="57"/>
  <c r="I53" i="57" s="1"/>
  <c r="J53" i="57" s="1"/>
  <c r="C9" i="57"/>
  <c r="I9" i="57" s="1"/>
  <c r="J9" i="57" s="1"/>
  <c r="F9" i="69" s="1"/>
  <c r="I9" i="69" s="1"/>
  <c r="B27" i="108"/>
  <c r="F27" i="108" s="1"/>
  <c r="C58" i="57"/>
  <c r="I58" i="57" s="1"/>
  <c r="J58" i="57" s="1"/>
  <c r="C61" i="57"/>
  <c r="I61" i="57" s="1"/>
  <c r="J61" i="57" s="1"/>
  <c r="B47" i="108"/>
  <c r="F47" i="108" s="1"/>
  <c r="B60" i="155"/>
  <c r="D60" i="155" s="1"/>
  <c r="E60" i="155" s="1"/>
  <c r="B44" i="108"/>
  <c r="F44" i="108" s="1"/>
  <c r="F4" i="69"/>
  <c r="I4" i="69" s="1"/>
  <c r="I12" i="69" s="1"/>
  <c r="B22" i="108"/>
  <c r="F22" i="108" s="1"/>
  <c r="C27" i="57"/>
  <c r="I27" i="57" s="1"/>
  <c r="J27" i="57" s="1"/>
  <c r="B46" i="108"/>
  <c r="F46" i="108" s="1"/>
  <c r="B52" i="108"/>
  <c r="F52" i="108" s="1"/>
  <c r="C70" i="57"/>
  <c r="I70" i="57" s="1"/>
  <c r="C76" i="57"/>
  <c r="I76" i="57" s="1"/>
  <c r="J76" i="57" s="1"/>
  <c r="B66" i="108"/>
  <c r="C33" i="57"/>
  <c r="B125" i="36"/>
  <c r="B76" i="108"/>
  <c r="F76" i="108" s="1"/>
  <c r="D5" i="71"/>
  <c r="D8" i="71" s="1"/>
  <c r="B71" i="108"/>
  <c r="F71" i="108" s="1"/>
  <c r="C81" i="57"/>
  <c r="I81" i="57" s="1"/>
  <c r="C17" i="57"/>
  <c r="I17" i="57" s="1"/>
  <c r="J17" i="57" s="1"/>
  <c r="B13" i="108"/>
  <c r="F13" i="108" s="1"/>
  <c r="C47" i="57"/>
  <c r="I47" i="57" s="1"/>
  <c r="J47" i="57" s="1"/>
  <c r="G38" i="153"/>
  <c r="H38" i="153" s="1"/>
  <c r="C49" i="57"/>
  <c r="I49" i="57" s="1"/>
  <c r="B43" i="108"/>
  <c r="F43" i="108" s="1"/>
  <c r="C42" i="153"/>
  <c r="G42" i="153" s="1"/>
  <c r="H42" i="153" s="1"/>
  <c r="B61" i="2"/>
  <c r="C27" i="153"/>
  <c r="G27" i="153" s="1"/>
  <c r="H27" i="153" s="1"/>
  <c r="B113" i="36"/>
  <c r="C30" i="57"/>
  <c r="I30" i="57" s="1"/>
  <c r="J30" i="57" s="1"/>
  <c r="B26" i="108"/>
  <c r="F26" i="108" s="1"/>
  <c r="C29" i="153"/>
  <c r="G29" i="153" s="1"/>
  <c r="H29" i="153" s="1"/>
  <c r="C32" i="153"/>
  <c r="G32" i="153" s="1"/>
  <c r="H32" i="153" s="1"/>
  <c r="B29" i="108"/>
  <c r="F29" i="108" s="1"/>
  <c r="G35" i="153"/>
  <c r="H35" i="153" s="1"/>
  <c r="C36" i="57"/>
  <c r="I36" i="57" s="1"/>
  <c r="J36" i="57" s="1"/>
  <c r="B31" i="108"/>
  <c r="F31" i="108" s="1"/>
  <c r="B64" i="108"/>
  <c r="F64" i="108" s="1"/>
  <c r="C71" i="57"/>
  <c r="I71" i="57" s="1"/>
  <c r="G61" i="153"/>
  <c r="H61" i="153" s="1"/>
  <c r="B60" i="108"/>
  <c r="F60" i="108" s="1"/>
  <c r="F5" i="69"/>
  <c r="I5" i="69" s="1"/>
  <c r="B28" i="108"/>
  <c r="C31" i="153"/>
  <c r="G31" i="153" s="1"/>
  <c r="H31" i="153" s="1"/>
  <c r="G34" i="153"/>
  <c r="H34" i="153" s="1"/>
  <c r="B30" i="108"/>
  <c r="C52" i="57"/>
  <c r="I52" i="57" s="1"/>
  <c r="B45" i="108"/>
  <c r="F45" i="108" s="1"/>
  <c r="C73" i="57"/>
  <c r="I73" i="57" s="1"/>
  <c r="J73" i="57" s="1"/>
  <c r="G63" i="153"/>
  <c r="H63" i="153" s="1"/>
  <c r="C83" i="57"/>
  <c r="I83" i="57" s="1"/>
  <c r="J83" i="57" s="1"/>
  <c r="G53" i="153"/>
  <c r="H53" i="153" s="1"/>
  <c r="G56" i="153"/>
  <c r="H56" i="153" s="1"/>
  <c r="B72" i="108"/>
  <c r="F72" i="108" s="1"/>
  <c r="C18" i="57"/>
  <c r="I18" i="57" s="1"/>
  <c r="C16" i="153"/>
  <c r="C18" i="153" s="1"/>
  <c r="B12" i="108"/>
  <c r="C40" i="153"/>
  <c r="G40" i="153" s="1"/>
  <c r="H40" i="153" s="1"/>
  <c r="C65" i="57"/>
  <c r="B58" i="108"/>
  <c r="F58" i="108" s="1"/>
  <c r="C67" i="57"/>
  <c r="B65" i="108"/>
  <c r="F65" i="108" s="1"/>
  <c r="B73" i="108"/>
  <c r="F73" i="108" s="1"/>
  <c r="C10" i="57"/>
  <c r="G52" i="153"/>
  <c r="H52" i="153" s="1"/>
  <c r="G60" i="153"/>
  <c r="H60" i="153" s="1"/>
  <c r="C64" i="155"/>
  <c r="F7" i="69"/>
  <c r="I7" i="69" s="1"/>
  <c r="B108" i="36"/>
  <c r="N47" i="140"/>
  <c r="G70" i="108"/>
  <c r="H70" i="108" s="1"/>
  <c r="J70" i="108"/>
  <c r="K70" i="108" s="1"/>
  <c r="F111" i="151"/>
  <c r="C64" i="57"/>
  <c r="I64" i="57" s="1"/>
  <c r="J64" i="57" s="1"/>
  <c r="K21" i="70"/>
  <c r="K21" i="86"/>
  <c r="K21" i="146"/>
  <c r="B89" i="108"/>
  <c r="C100" i="57"/>
  <c r="D80" i="50"/>
  <c r="D21" i="50"/>
  <c r="D31" i="50"/>
  <c r="D75" i="50"/>
  <c r="D51" i="152" s="1"/>
  <c r="F51" i="152" s="1"/>
  <c r="H14" i="73"/>
  <c r="D39" i="50"/>
  <c r="D105" i="50"/>
  <c r="G14" i="63"/>
  <c r="M4" i="86" s="1"/>
  <c r="D84" i="50"/>
  <c r="C11" i="154"/>
  <c r="C12" i="162"/>
  <c r="B21" i="108"/>
  <c r="C59" i="157"/>
  <c r="D93" i="159"/>
  <c r="C16" i="159"/>
  <c r="C87" i="159" s="1"/>
  <c r="I37" i="159"/>
  <c r="J37" i="159" s="1"/>
  <c r="D37" i="159"/>
  <c r="I9" i="159"/>
  <c r="J9" i="159" s="1"/>
  <c r="D74" i="159"/>
  <c r="D86" i="159"/>
  <c r="D7" i="159"/>
  <c r="D14" i="159"/>
  <c r="D9" i="159"/>
  <c r="D30" i="159"/>
  <c r="D83" i="159"/>
  <c r="F108" i="159"/>
  <c r="I93" i="159"/>
  <c r="J93" i="159" s="1"/>
  <c r="G85" i="159"/>
  <c r="G79" i="159"/>
  <c r="G75" i="159"/>
  <c r="G74" i="159"/>
  <c r="G71" i="159"/>
  <c r="G70" i="159"/>
  <c r="G69" i="159"/>
  <c r="G63" i="159"/>
  <c r="G54" i="159"/>
  <c r="G50" i="159"/>
  <c r="G45" i="159"/>
  <c r="G44" i="159"/>
  <c r="G34" i="159"/>
  <c r="G26" i="159"/>
  <c r="G22" i="159"/>
  <c r="I15" i="159"/>
  <c r="J15" i="159" s="1"/>
  <c r="D13" i="159"/>
  <c r="G96" i="159"/>
  <c r="G84" i="159"/>
  <c r="G83" i="159"/>
  <c r="G82" i="159"/>
  <c r="G81" i="159"/>
  <c r="G80" i="159"/>
  <c r="G73" i="159"/>
  <c r="G72" i="159"/>
  <c r="G64" i="159"/>
  <c r="G56" i="159"/>
  <c r="G55" i="159"/>
  <c r="G51" i="159"/>
  <c r="G41" i="159"/>
  <c r="G36" i="159"/>
  <c r="G35" i="159"/>
  <c r="G31" i="159"/>
  <c r="G30" i="159"/>
  <c r="G27" i="159"/>
  <c r="G23" i="159"/>
  <c r="G13" i="159"/>
  <c r="C96" i="159"/>
  <c r="I96" i="159" s="1"/>
  <c r="G77" i="159"/>
  <c r="G76" i="159"/>
  <c r="G66" i="159"/>
  <c r="G65" i="159"/>
  <c r="G59" i="159"/>
  <c r="G58" i="159"/>
  <c r="G57" i="159"/>
  <c r="G52" i="159"/>
  <c r="G48" i="159"/>
  <c r="G47" i="159"/>
  <c r="G46" i="159"/>
  <c r="G42" i="159"/>
  <c r="G32" i="159"/>
  <c r="G29" i="159"/>
  <c r="G28" i="159"/>
  <c r="G24" i="159"/>
  <c r="D15" i="159"/>
  <c r="G14" i="159"/>
  <c r="G9" i="159"/>
  <c r="I8" i="159"/>
  <c r="G7" i="159"/>
  <c r="G93" i="159"/>
  <c r="G78" i="159"/>
  <c r="G68" i="159"/>
  <c r="G67" i="159"/>
  <c r="G62" i="159"/>
  <c r="G61" i="159"/>
  <c r="G60" i="159"/>
  <c r="G53" i="159"/>
  <c r="G49" i="159"/>
  <c r="G43" i="159"/>
  <c r="G33" i="159"/>
  <c r="G25" i="159"/>
  <c r="G21" i="159"/>
  <c r="L15" i="159"/>
  <c r="F72" i="152"/>
  <c r="G72" i="152" s="1"/>
  <c r="C99" i="57"/>
  <c r="I99" i="57" s="1"/>
  <c r="J99" i="57" s="1"/>
  <c r="B88" i="108"/>
  <c r="C89" i="57"/>
  <c r="I89" i="57" s="1"/>
  <c r="D34" i="126"/>
  <c r="F37" i="152"/>
  <c r="D29" i="126"/>
  <c r="G86" i="159"/>
  <c r="D6" i="157" l="1"/>
  <c r="C24" i="155"/>
  <c r="D57" i="126"/>
  <c r="D54" i="126"/>
  <c r="D39" i="126"/>
  <c r="D70" i="126"/>
  <c r="D81" i="126"/>
  <c r="D44" i="126"/>
  <c r="D63" i="126"/>
  <c r="D48" i="126"/>
  <c r="D38" i="126"/>
  <c r="D17" i="126"/>
  <c r="D77" i="126"/>
  <c r="D47" i="126"/>
  <c r="D80" i="126"/>
  <c r="D79" i="126"/>
  <c r="D91" i="126"/>
  <c r="D25" i="126"/>
  <c r="D61" i="126"/>
  <c r="D94" i="126"/>
  <c r="E57" i="158"/>
  <c r="F57" i="158" s="1"/>
  <c r="D65" i="126"/>
  <c r="D33" i="126"/>
  <c r="D49" i="126"/>
  <c r="D28" i="126"/>
  <c r="D56" i="126"/>
  <c r="D58" i="159"/>
  <c r="D43" i="159"/>
  <c r="C84" i="158"/>
  <c r="E84" i="158" s="1"/>
  <c r="F84" i="158" s="1"/>
  <c r="D62" i="126"/>
  <c r="D32" i="126"/>
  <c r="D74" i="126"/>
  <c r="B38" i="165"/>
  <c r="F38" i="165" s="1"/>
  <c r="B38" i="154"/>
  <c r="D38" i="154" s="1"/>
  <c r="E38" i="154" s="1"/>
  <c r="C40" i="154"/>
  <c r="D57" i="157"/>
  <c r="C62" i="157"/>
  <c r="G48" i="162"/>
  <c r="I48" i="162" s="1"/>
  <c r="J48" i="162" s="1"/>
  <c r="I64" i="162"/>
  <c r="I31" i="162"/>
  <c r="B42" i="157"/>
  <c r="D42" i="157" s="1"/>
  <c r="E42" i="157" s="1"/>
  <c r="D36" i="157"/>
  <c r="E36" i="157" s="1"/>
  <c r="G51" i="152"/>
  <c r="G52" i="152"/>
  <c r="G88" i="162"/>
  <c r="I88" i="162" s="1"/>
  <c r="C41" i="163"/>
  <c r="G84" i="162"/>
  <c r="I84" i="162" s="1"/>
  <c r="F32" i="165"/>
  <c r="D32" i="165"/>
  <c r="B34" i="154"/>
  <c r="D34" i="154" s="1"/>
  <c r="E34" i="154" s="1"/>
  <c r="B34" i="165"/>
  <c r="G59" i="152"/>
  <c r="G32" i="152"/>
  <c r="B26" i="165"/>
  <c r="G34" i="163"/>
  <c r="G29" i="163"/>
  <c r="G25" i="163"/>
  <c r="G21" i="163"/>
  <c r="G32" i="163"/>
  <c r="G27" i="163"/>
  <c r="G23" i="163"/>
  <c r="I39" i="162"/>
  <c r="I70" i="162"/>
  <c r="I55" i="162"/>
  <c r="G12" i="162"/>
  <c r="I12" i="162" s="1"/>
  <c r="J12" i="162" s="1"/>
  <c r="I87" i="162"/>
  <c r="J87" i="162" s="1"/>
  <c r="I83" i="162"/>
  <c r="I95" i="162"/>
  <c r="J95" i="162" s="1"/>
  <c r="I91" i="162"/>
  <c r="J91" i="162" s="1"/>
  <c r="I79" i="162"/>
  <c r="E95" i="50"/>
  <c r="E103" i="50"/>
  <c r="E102" i="50"/>
  <c r="E100" i="50"/>
  <c r="E101" i="50"/>
  <c r="E98" i="50"/>
  <c r="E99" i="50"/>
  <c r="E97" i="50"/>
  <c r="E96" i="50"/>
  <c r="E18" i="152"/>
  <c r="E40" i="152" s="1"/>
  <c r="G68" i="152"/>
  <c r="B32" i="154"/>
  <c r="C82" i="162"/>
  <c r="E104" i="50"/>
  <c r="F77" i="153"/>
  <c r="F33" i="153"/>
  <c r="F45" i="152"/>
  <c r="G45" i="152" s="1"/>
  <c r="C53" i="162"/>
  <c r="G53" i="162" s="1"/>
  <c r="D61" i="152"/>
  <c r="F61" i="152" s="1"/>
  <c r="G61" i="152" s="1"/>
  <c r="C17" i="159"/>
  <c r="D17" i="159" s="1"/>
  <c r="C126" i="107"/>
  <c r="G49" i="126"/>
  <c r="G59" i="126"/>
  <c r="G30" i="126"/>
  <c r="C125" i="107"/>
  <c r="F37" i="69"/>
  <c r="I37" i="69" s="1"/>
  <c r="I39" i="126"/>
  <c r="J39" i="126" s="1"/>
  <c r="G19" i="126"/>
  <c r="F40" i="140"/>
  <c r="F114" i="140" s="1"/>
  <c r="F20" i="126"/>
  <c r="E89" i="158"/>
  <c r="F89" i="158" s="1"/>
  <c r="F66" i="108"/>
  <c r="C123" i="107"/>
  <c r="C19" i="126"/>
  <c r="I19" i="126" s="1"/>
  <c r="J19" i="126" s="1"/>
  <c r="G57" i="126"/>
  <c r="D55" i="152"/>
  <c r="F55" i="152" s="1"/>
  <c r="B16" i="165" s="1"/>
  <c r="I50" i="159"/>
  <c r="J50" i="159" s="1"/>
  <c r="B19" i="157"/>
  <c r="D19" i="157" s="1"/>
  <c r="B37" i="157"/>
  <c r="D37" i="157" s="1"/>
  <c r="C11" i="162"/>
  <c r="G11" i="162" s="1"/>
  <c r="I51" i="140"/>
  <c r="J51" i="140" s="1"/>
  <c r="I85" i="140"/>
  <c r="J85" i="140" s="1"/>
  <c r="N63" i="140"/>
  <c r="I29" i="140"/>
  <c r="J29" i="140" s="1"/>
  <c r="L81" i="140"/>
  <c r="I38" i="140"/>
  <c r="J38" i="140" s="1"/>
  <c r="N81" i="140"/>
  <c r="N70" i="140"/>
  <c r="I28" i="151"/>
  <c r="J28" i="151" s="1"/>
  <c r="D31" i="157"/>
  <c r="D52" i="126"/>
  <c r="D59" i="126"/>
  <c r="D11" i="126"/>
  <c r="D60" i="126"/>
  <c r="D68" i="126"/>
  <c r="D30" i="126"/>
  <c r="D58" i="126"/>
  <c r="D75" i="126"/>
  <c r="D45" i="126"/>
  <c r="D78" i="126"/>
  <c r="D64" i="126"/>
  <c r="D67" i="126"/>
  <c r="C127" i="107"/>
  <c r="D69" i="2"/>
  <c r="D84" i="126"/>
  <c r="L19" i="126"/>
  <c r="L84" i="126"/>
  <c r="I25" i="151"/>
  <c r="J25" i="151" s="1"/>
  <c r="D82" i="159"/>
  <c r="D71" i="159"/>
  <c r="D68" i="159"/>
  <c r="D61" i="159"/>
  <c r="D49" i="159"/>
  <c r="D60" i="159"/>
  <c r="D56" i="159"/>
  <c r="N16" i="151"/>
  <c r="D46" i="126"/>
  <c r="D37" i="126"/>
  <c r="D31" i="126"/>
  <c r="D27" i="126"/>
  <c r="D26" i="126"/>
  <c r="D35" i="126"/>
  <c r="D71" i="126"/>
  <c r="D9" i="126"/>
  <c r="D50" i="126"/>
  <c r="D53" i="126"/>
  <c r="D36" i="126"/>
  <c r="D76" i="126"/>
  <c r="G39" i="126"/>
  <c r="D63" i="159"/>
  <c r="D51" i="159"/>
  <c r="D21" i="159"/>
  <c r="D95" i="159"/>
  <c r="D14" i="164"/>
  <c r="D34" i="164" s="1"/>
  <c r="E23" i="164"/>
  <c r="D18" i="50"/>
  <c r="H15" i="73" s="1"/>
  <c r="C22" i="162"/>
  <c r="G22" i="162" s="1"/>
  <c r="I69" i="140"/>
  <c r="J69" i="140" s="1"/>
  <c r="F49" i="153"/>
  <c r="F62" i="153"/>
  <c r="N65" i="151"/>
  <c r="I83" i="151"/>
  <c r="J83" i="151" s="1"/>
  <c r="D28" i="159"/>
  <c r="C76" i="151"/>
  <c r="I76" i="151" s="1"/>
  <c r="J76" i="151" s="1"/>
  <c r="I37" i="140"/>
  <c r="J37" i="140" s="1"/>
  <c r="N84" i="151"/>
  <c r="D24" i="157"/>
  <c r="E24" i="157" s="1"/>
  <c r="D18" i="157"/>
  <c r="E18" i="157" s="1"/>
  <c r="I34" i="151"/>
  <c r="J34" i="151" s="1"/>
  <c r="I45" i="140"/>
  <c r="J45" i="140" s="1"/>
  <c r="F8" i="153"/>
  <c r="F35" i="153"/>
  <c r="F63" i="153"/>
  <c r="F24" i="153"/>
  <c r="G76" i="153"/>
  <c r="G78" i="153" s="1"/>
  <c r="H78" i="153" s="1"/>
  <c r="C78" i="153"/>
  <c r="C11" i="151"/>
  <c r="D29" i="151" s="1"/>
  <c r="F16" i="107"/>
  <c r="I81" i="151"/>
  <c r="J81" i="151" s="1"/>
  <c r="N51" i="151"/>
  <c r="C77" i="2"/>
  <c r="C18" i="2"/>
  <c r="C20" i="2" s="1"/>
  <c r="E5" i="71"/>
  <c r="A18" i="155"/>
  <c r="F39" i="152"/>
  <c r="C76" i="162"/>
  <c r="D89" i="50"/>
  <c r="J80" i="57"/>
  <c r="G14" i="152"/>
  <c r="F7" i="108"/>
  <c r="B7" i="108"/>
  <c r="B57" i="155"/>
  <c r="D57" i="155" s="1"/>
  <c r="E57" i="155" s="1"/>
  <c r="C10" i="153"/>
  <c r="D44" i="159"/>
  <c r="G34" i="151"/>
  <c r="G80" i="151"/>
  <c r="G73" i="151"/>
  <c r="G39" i="151"/>
  <c r="G51" i="151"/>
  <c r="G45" i="151"/>
  <c r="G18" i="151"/>
  <c r="F20" i="151"/>
  <c r="G20" i="151" s="1"/>
  <c r="G63" i="151"/>
  <c r="G56" i="151"/>
  <c r="G70" i="151"/>
  <c r="G17" i="151"/>
  <c r="G67" i="151"/>
  <c r="G60" i="151"/>
  <c r="G27" i="151"/>
  <c r="G64" i="151"/>
  <c r="G26" i="151"/>
  <c r="G54" i="151"/>
  <c r="G82" i="151"/>
  <c r="G57" i="151"/>
  <c r="G49" i="151"/>
  <c r="G52" i="151"/>
  <c r="G29" i="151"/>
  <c r="G53" i="151"/>
  <c r="G61" i="151"/>
  <c r="G55" i="151"/>
  <c r="G74" i="151"/>
  <c r="G30" i="151"/>
  <c r="G33" i="151"/>
  <c r="G59" i="151"/>
  <c r="G65" i="151"/>
  <c r="G47" i="151"/>
  <c r="G72" i="151"/>
  <c r="G32" i="151"/>
  <c r="G79" i="151"/>
  <c r="G38" i="151"/>
  <c r="G62" i="151"/>
  <c r="G75" i="151"/>
  <c r="G36" i="151"/>
  <c r="G25" i="151"/>
  <c r="G71" i="151"/>
  <c r="G11" i="151"/>
  <c r="I34" i="140"/>
  <c r="J34" i="140" s="1"/>
  <c r="I17" i="159"/>
  <c r="J17" i="159" s="1"/>
  <c r="D35" i="108"/>
  <c r="N46" i="151"/>
  <c r="N69" i="151"/>
  <c r="F67" i="108"/>
  <c r="I80" i="151"/>
  <c r="J80" i="151" s="1"/>
  <c r="G52" i="126"/>
  <c r="G81" i="126"/>
  <c r="G47" i="126"/>
  <c r="G33" i="126"/>
  <c r="G46" i="126"/>
  <c r="G69" i="126"/>
  <c r="G54" i="126"/>
  <c r="G25" i="126"/>
  <c r="F85" i="126"/>
  <c r="G85" i="126" s="1"/>
  <c r="I11" i="126"/>
  <c r="I9" i="151"/>
  <c r="I11" i="151" s="1"/>
  <c r="J11" i="151" s="1"/>
  <c r="G93" i="151"/>
  <c r="F70" i="108"/>
  <c r="D26" i="159"/>
  <c r="G16" i="159"/>
  <c r="C49" i="162"/>
  <c r="G49" i="162" s="1"/>
  <c r="C14" i="164"/>
  <c r="C34" i="164" s="1"/>
  <c r="D80" i="108"/>
  <c r="D81" i="108" s="1"/>
  <c r="D83" i="108" s="1"/>
  <c r="N25" i="151"/>
  <c r="N54" i="151"/>
  <c r="N37" i="151"/>
  <c r="I50" i="151"/>
  <c r="J50" i="151" s="1"/>
  <c r="C20" i="126"/>
  <c r="D20" i="126" s="1"/>
  <c r="G64" i="126"/>
  <c r="G63" i="126"/>
  <c r="G26" i="126"/>
  <c r="J11" i="126"/>
  <c r="G37" i="126"/>
  <c r="G77" i="126"/>
  <c r="I50" i="140"/>
  <c r="J50" i="140" s="1"/>
  <c r="G66" i="126"/>
  <c r="G67" i="108"/>
  <c r="H67" i="108" s="1"/>
  <c r="I31" i="140"/>
  <c r="J31" i="140" s="1"/>
  <c r="I32" i="151"/>
  <c r="J32" i="151" s="1"/>
  <c r="I77" i="151"/>
  <c r="J77" i="151" s="1"/>
  <c r="D81" i="36"/>
  <c r="C46" i="162"/>
  <c r="G46" i="162" s="1"/>
  <c r="C36" i="155"/>
  <c r="F21" i="108"/>
  <c r="B56" i="155"/>
  <c r="D56" i="155" s="1"/>
  <c r="E56" i="155" s="1"/>
  <c r="I62" i="140"/>
  <c r="J62" i="140" s="1"/>
  <c r="E8" i="71"/>
  <c r="N62" i="151"/>
  <c r="G65" i="126"/>
  <c r="G75" i="126"/>
  <c r="G50" i="126"/>
  <c r="I54" i="140"/>
  <c r="J54" i="140" s="1"/>
  <c r="G11" i="126"/>
  <c r="G80" i="126"/>
  <c r="G67" i="126"/>
  <c r="G32" i="126"/>
  <c r="G9" i="126"/>
  <c r="B18" i="2"/>
  <c r="B20" i="2" s="1"/>
  <c r="L11" i="126"/>
  <c r="G24" i="153"/>
  <c r="H24" i="153" s="1"/>
  <c r="J47" i="162"/>
  <c r="G18" i="162"/>
  <c r="G16" i="153"/>
  <c r="C13" i="163"/>
  <c r="F15" i="153"/>
  <c r="F34" i="153"/>
  <c r="F53" i="153"/>
  <c r="F78" i="153"/>
  <c r="F59" i="153"/>
  <c r="G9" i="153"/>
  <c r="H9" i="153" s="1"/>
  <c r="B10" i="154"/>
  <c r="B10" i="155" s="1"/>
  <c r="D10" i="155" s="1"/>
  <c r="E10" i="155" s="1"/>
  <c r="G8" i="153"/>
  <c r="H8" i="153" s="1"/>
  <c r="F16" i="153"/>
  <c r="F52" i="153"/>
  <c r="G15" i="153"/>
  <c r="H15" i="153" s="1"/>
  <c r="C15" i="163"/>
  <c r="F60" i="153"/>
  <c r="G14" i="153"/>
  <c r="H14" i="153" s="1"/>
  <c r="F69" i="153"/>
  <c r="F58" i="153"/>
  <c r="F67" i="153"/>
  <c r="E20" i="153"/>
  <c r="F20" i="153" s="1"/>
  <c r="F18" i="153"/>
  <c r="B114" i="36"/>
  <c r="N32" i="151"/>
  <c r="N27" i="140"/>
  <c r="I29" i="151"/>
  <c r="J29" i="151" s="1"/>
  <c r="I67" i="151"/>
  <c r="J67" i="151" s="1"/>
  <c r="I18" i="151"/>
  <c r="J18" i="151" s="1"/>
  <c r="G77" i="151"/>
  <c r="I79" i="159"/>
  <c r="J79" i="159" s="1"/>
  <c r="I55" i="151"/>
  <c r="J55" i="151" s="1"/>
  <c r="I47" i="151"/>
  <c r="J47" i="151" s="1"/>
  <c r="I63" i="151"/>
  <c r="J63" i="151" s="1"/>
  <c r="I70" i="151"/>
  <c r="J70" i="151" s="1"/>
  <c r="F64" i="107"/>
  <c r="N81" i="151"/>
  <c r="N49" i="140"/>
  <c r="I59" i="151"/>
  <c r="J59" i="151" s="1"/>
  <c r="I85" i="151"/>
  <c r="J85" i="151" s="1"/>
  <c r="C19" i="151"/>
  <c r="C111" i="151" s="1"/>
  <c r="F86" i="151"/>
  <c r="F115" i="151" s="1"/>
  <c r="I56" i="151"/>
  <c r="J56" i="151" s="1"/>
  <c r="I52" i="140"/>
  <c r="J52" i="140" s="1"/>
  <c r="I73" i="140"/>
  <c r="J73" i="140" s="1"/>
  <c r="E45" i="107"/>
  <c r="F45" i="107" s="1"/>
  <c r="N35" i="140"/>
  <c r="I64" i="151"/>
  <c r="J64" i="151" s="1"/>
  <c r="I56" i="140"/>
  <c r="J56" i="140" s="1"/>
  <c r="N71" i="140"/>
  <c r="I82" i="140"/>
  <c r="J82" i="140" s="1"/>
  <c r="I68" i="140"/>
  <c r="J68" i="140" s="1"/>
  <c r="I93" i="140"/>
  <c r="J93" i="140" s="1"/>
  <c r="I48" i="140"/>
  <c r="J48" i="140" s="1"/>
  <c r="I48" i="151"/>
  <c r="J48" i="151" s="1"/>
  <c r="E126" i="107"/>
  <c r="N30" i="140"/>
  <c r="I78" i="140"/>
  <c r="J78" i="140" s="1"/>
  <c r="I52" i="151"/>
  <c r="J52" i="151" s="1"/>
  <c r="I26" i="140"/>
  <c r="J26" i="140" s="1"/>
  <c r="N60" i="140"/>
  <c r="I64" i="140"/>
  <c r="J64" i="140" s="1"/>
  <c r="D32" i="159"/>
  <c r="D46" i="159"/>
  <c r="B9" i="154"/>
  <c r="D9" i="154" s="1"/>
  <c r="B16" i="155"/>
  <c r="D16" i="155" s="1"/>
  <c r="E16" i="155" s="1"/>
  <c r="D29" i="152"/>
  <c r="F29" i="152" s="1"/>
  <c r="B79" i="108"/>
  <c r="B9" i="155"/>
  <c r="D9" i="155" s="1"/>
  <c r="E9" i="155" s="1"/>
  <c r="L71" i="57"/>
  <c r="B28" i="155"/>
  <c r="D28" i="155" s="1"/>
  <c r="E28" i="155" s="1"/>
  <c r="G10" i="152"/>
  <c r="F44" i="152"/>
  <c r="G44" i="152" s="1"/>
  <c r="C19" i="154"/>
  <c r="C37" i="154" s="1"/>
  <c r="F64" i="153"/>
  <c r="F41" i="153"/>
  <c r="F50" i="153"/>
  <c r="F27" i="153"/>
  <c r="F30" i="153"/>
  <c r="F10" i="153"/>
  <c r="F14" i="153"/>
  <c r="F25" i="153"/>
  <c r="F68" i="153"/>
  <c r="F44" i="153"/>
  <c r="F76" i="153"/>
  <c r="F55" i="153"/>
  <c r="F51" i="153"/>
  <c r="F40" i="153"/>
  <c r="F39" i="153"/>
  <c r="F46" i="153"/>
  <c r="F26" i="153"/>
  <c r="F31" i="153"/>
  <c r="F42" i="153"/>
  <c r="F32" i="153"/>
  <c r="F66" i="153"/>
  <c r="F28" i="153"/>
  <c r="F54" i="153"/>
  <c r="F43" i="153"/>
  <c r="F71" i="153"/>
  <c r="F36" i="153"/>
  <c r="F70" i="153"/>
  <c r="F56" i="153"/>
  <c r="F47" i="153"/>
  <c r="F61" i="153"/>
  <c r="F37" i="153"/>
  <c r="F45" i="153"/>
  <c r="F57" i="153"/>
  <c r="F48" i="153"/>
  <c r="F38" i="153"/>
  <c r="F29" i="153"/>
  <c r="F65" i="153"/>
  <c r="D9" i="140"/>
  <c r="D27" i="140"/>
  <c r="D26" i="140"/>
  <c r="D73" i="140"/>
  <c r="D31" i="140"/>
  <c r="D82" i="140"/>
  <c r="D71" i="140"/>
  <c r="D70" i="140"/>
  <c r="D78" i="140"/>
  <c r="D30" i="140"/>
  <c r="C109" i="140"/>
  <c r="D109" i="140" s="1"/>
  <c r="D81" i="140"/>
  <c r="D47" i="140"/>
  <c r="D54" i="140"/>
  <c r="G83" i="140"/>
  <c r="D64" i="140"/>
  <c r="D85" i="140"/>
  <c r="D36" i="140"/>
  <c r="D25" i="140"/>
  <c r="D75" i="140"/>
  <c r="D56" i="140"/>
  <c r="G84" i="140"/>
  <c r="D61" i="140"/>
  <c r="D66" i="140"/>
  <c r="D45" i="140"/>
  <c r="D52" i="140"/>
  <c r="D35" i="140"/>
  <c r="D93" i="140"/>
  <c r="D60" i="140"/>
  <c r="D11" i="140"/>
  <c r="D48" i="140"/>
  <c r="D33" i="140"/>
  <c r="D49" i="140"/>
  <c r="D46" i="140"/>
  <c r="D68" i="140"/>
  <c r="D39" i="140"/>
  <c r="D55" i="140"/>
  <c r="D69" i="140"/>
  <c r="D17" i="140"/>
  <c r="G85" i="140"/>
  <c r="D84" i="140"/>
  <c r="D77" i="140"/>
  <c r="I67" i="140"/>
  <c r="J67" i="140" s="1"/>
  <c r="D51" i="140"/>
  <c r="D38" i="140"/>
  <c r="D29" i="140"/>
  <c r="I82" i="151"/>
  <c r="J82" i="151" s="1"/>
  <c r="I71" i="151"/>
  <c r="J71" i="151" s="1"/>
  <c r="I60" i="151"/>
  <c r="J60" i="151" s="1"/>
  <c r="N26" i="151"/>
  <c r="N9" i="140"/>
  <c r="I84" i="140"/>
  <c r="J84" i="140" s="1"/>
  <c r="B77" i="2"/>
  <c r="B69" i="2"/>
  <c r="F86" i="140"/>
  <c r="F87" i="140" s="1"/>
  <c r="F116" i="140" s="1"/>
  <c r="I55" i="140"/>
  <c r="J55" i="140" s="1"/>
  <c r="I32" i="140"/>
  <c r="J32" i="140" s="1"/>
  <c r="D18" i="140"/>
  <c r="D67" i="140"/>
  <c r="D80" i="140"/>
  <c r="D32" i="140"/>
  <c r="C96" i="151"/>
  <c r="I30" i="151"/>
  <c r="J30" i="151" s="1"/>
  <c r="I35" i="151"/>
  <c r="J35" i="151" s="1"/>
  <c r="I60" i="159"/>
  <c r="I9" i="140"/>
  <c r="I11" i="140" s="1"/>
  <c r="I80" i="140"/>
  <c r="J80" i="140" s="1"/>
  <c r="D63" i="140"/>
  <c r="I59" i="140"/>
  <c r="J59" i="140" s="1"/>
  <c r="D59" i="140"/>
  <c r="I18" i="140"/>
  <c r="J18" i="140" s="1"/>
  <c r="N78" i="151"/>
  <c r="E62" i="152"/>
  <c r="E77" i="152" s="1"/>
  <c r="D62" i="140"/>
  <c r="G68" i="151"/>
  <c r="I57" i="151"/>
  <c r="J57" i="151" s="1"/>
  <c r="D79" i="140"/>
  <c r="D50" i="140"/>
  <c r="I45" i="151"/>
  <c r="J45" i="151" s="1"/>
  <c r="I68" i="151"/>
  <c r="J68" i="151" s="1"/>
  <c r="N79" i="140"/>
  <c r="E11" i="107"/>
  <c r="I61" i="151"/>
  <c r="J61" i="151" s="1"/>
  <c r="C72" i="151"/>
  <c r="E6" i="107"/>
  <c r="I28" i="140"/>
  <c r="J28" i="140" s="1"/>
  <c r="D58" i="140"/>
  <c r="N49" i="151"/>
  <c r="C40" i="140"/>
  <c r="C73" i="151"/>
  <c r="E88" i="107"/>
  <c r="F88" i="107" s="1"/>
  <c r="D37" i="140"/>
  <c r="I79" i="151"/>
  <c r="J79" i="151" s="1"/>
  <c r="F75" i="107"/>
  <c r="F69" i="107"/>
  <c r="F96" i="140"/>
  <c r="F120" i="140" s="1"/>
  <c r="F53" i="107"/>
  <c r="D28" i="140"/>
  <c r="I58" i="140"/>
  <c r="J58" i="140" s="1"/>
  <c r="D83" i="140"/>
  <c r="I27" i="151"/>
  <c r="J27" i="151" s="1"/>
  <c r="N36" i="151"/>
  <c r="I33" i="151"/>
  <c r="J33" i="151" s="1"/>
  <c r="C40" i="151"/>
  <c r="F76" i="107"/>
  <c r="F32" i="107"/>
  <c r="D34" i="140"/>
  <c r="N83" i="140"/>
  <c r="I53" i="151"/>
  <c r="J53" i="151" s="1"/>
  <c r="F63" i="107"/>
  <c r="N25" i="140"/>
  <c r="I46" i="140"/>
  <c r="J46" i="140" s="1"/>
  <c r="D78" i="159"/>
  <c r="I21" i="159"/>
  <c r="J21" i="159" s="1"/>
  <c r="D76" i="159"/>
  <c r="D47" i="159"/>
  <c r="B90" i="36"/>
  <c r="B92" i="36" s="1"/>
  <c r="B102" i="36" s="1"/>
  <c r="B122" i="36" s="1"/>
  <c r="B127" i="36" s="1"/>
  <c r="B109" i="36"/>
  <c r="B20" i="36"/>
  <c r="B111" i="36" s="1"/>
  <c r="F75" i="152"/>
  <c r="F60" i="152"/>
  <c r="I49" i="159"/>
  <c r="J49" i="159" s="1"/>
  <c r="D34" i="159"/>
  <c r="I82" i="159"/>
  <c r="J82" i="159" s="1"/>
  <c r="D57" i="159"/>
  <c r="D25" i="159"/>
  <c r="C89" i="159"/>
  <c r="D87" i="159"/>
  <c r="J18" i="57"/>
  <c r="L18" i="57"/>
  <c r="B44" i="155"/>
  <c r="D44" i="155" s="1"/>
  <c r="D16" i="159"/>
  <c r="I16" i="159"/>
  <c r="J16" i="159" s="1"/>
  <c r="G31" i="151"/>
  <c r="G69" i="151"/>
  <c r="G76" i="151"/>
  <c r="G16" i="151"/>
  <c r="G28" i="151"/>
  <c r="G37" i="151"/>
  <c r="G46" i="151"/>
  <c r="G20" i="126"/>
  <c r="G9" i="151"/>
  <c r="G19" i="151"/>
  <c r="G48" i="151"/>
  <c r="G78" i="151"/>
  <c r="C69" i="2"/>
  <c r="F85" i="107"/>
  <c r="F20" i="107"/>
  <c r="F22" i="107"/>
  <c r="F66" i="107"/>
  <c r="F23" i="107"/>
  <c r="F71" i="107"/>
  <c r="F19" i="107"/>
  <c r="F68" i="107"/>
  <c r="F17" i="107"/>
  <c r="F28" i="107"/>
  <c r="F8" i="107"/>
  <c r="F18" i="107"/>
  <c r="F15" i="107"/>
  <c r="F57" i="107"/>
  <c r="F10" i="107"/>
  <c r="F30" i="107"/>
  <c r="F29" i="107"/>
  <c r="F62" i="107"/>
  <c r="F83" i="107"/>
  <c r="F26" i="107"/>
  <c r="F70" i="107"/>
  <c r="F38" i="107"/>
  <c r="F21" i="107"/>
  <c r="F24" i="107"/>
  <c r="F27" i="107"/>
  <c r="F25" i="107"/>
  <c r="F61" i="107"/>
  <c r="F49" i="107"/>
  <c r="F79" i="107"/>
  <c r="F80" i="107"/>
  <c r="E12" i="65"/>
  <c r="F4" i="65"/>
  <c r="G66" i="151"/>
  <c r="G81" i="151"/>
  <c r="G58" i="151"/>
  <c r="G50" i="151"/>
  <c r="E124" i="107"/>
  <c r="E127" i="107"/>
  <c r="E125" i="107"/>
  <c r="F78" i="107"/>
  <c r="F73" i="107"/>
  <c r="F65" i="107"/>
  <c r="F58" i="107"/>
  <c r="F54" i="107"/>
  <c r="G19" i="57"/>
  <c r="E123" i="107"/>
  <c r="C96" i="140"/>
  <c r="D20" i="2"/>
  <c r="E99" i="107"/>
  <c r="F81" i="107"/>
  <c r="F74" i="107"/>
  <c r="F55" i="107"/>
  <c r="F52" i="107"/>
  <c r="F48" i="107"/>
  <c r="F42" i="107"/>
  <c r="F34" i="107"/>
  <c r="F87" i="159"/>
  <c r="I87" i="159" s="1"/>
  <c r="J87" i="159" s="1"/>
  <c r="F7" i="152"/>
  <c r="I33" i="140"/>
  <c r="J33" i="140" s="1"/>
  <c r="F11" i="140"/>
  <c r="G9" i="140" s="1"/>
  <c r="F77" i="107"/>
  <c r="F72" i="107"/>
  <c r="F50" i="107"/>
  <c r="F44" i="107"/>
  <c r="F40" i="107"/>
  <c r="F36" i="107"/>
  <c r="F40" i="151"/>
  <c r="I36" i="140"/>
  <c r="J36" i="140" s="1"/>
  <c r="E69" i="2"/>
  <c r="F82" i="107"/>
  <c r="F67" i="107"/>
  <c r="F60" i="107"/>
  <c r="F56" i="107"/>
  <c r="F43" i="107"/>
  <c r="F39" i="107"/>
  <c r="F35" i="107"/>
  <c r="F31" i="107"/>
  <c r="F92" i="57"/>
  <c r="I31" i="151"/>
  <c r="J31" i="151" s="1"/>
  <c r="C83" i="2"/>
  <c r="D27" i="159"/>
  <c r="D53" i="159"/>
  <c r="I71" i="159"/>
  <c r="J71" i="159" s="1"/>
  <c r="D35" i="159"/>
  <c r="I68" i="159"/>
  <c r="J68" i="159" s="1"/>
  <c r="D42" i="159"/>
  <c r="I61" i="159"/>
  <c r="I26" i="159"/>
  <c r="J26" i="159" s="1"/>
  <c r="D41" i="159"/>
  <c r="D65" i="159"/>
  <c r="D70" i="159"/>
  <c r="D96" i="159"/>
  <c r="C108" i="159"/>
  <c r="I108" i="159" s="1"/>
  <c r="K108" i="159" s="1"/>
  <c r="I10" i="57"/>
  <c r="C11" i="57"/>
  <c r="D67" i="57" s="1"/>
  <c r="G43" i="153"/>
  <c r="H43" i="153" s="1"/>
  <c r="I33" i="57"/>
  <c r="C41" i="57"/>
  <c r="N65" i="140"/>
  <c r="I65" i="140"/>
  <c r="J65" i="140" s="1"/>
  <c r="D65" i="140"/>
  <c r="N61" i="140"/>
  <c r="I61" i="140"/>
  <c r="J61" i="140" s="1"/>
  <c r="N57" i="140"/>
  <c r="I57" i="140"/>
  <c r="J57" i="140" s="1"/>
  <c r="D57" i="140"/>
  <c r="N53" i="140"/>
  <c r="D53" i="140"/>
  <c r="N16" i="140"/>
  <c r="C19" i="140"/>
  <c r="I16" i="140"/>
  <c r="J16" i="140" s="1"/>
  <c r="D16" i="140"/>
  <c r="F96" i="151"/>
  <c r="I93" i="151"/>
  <c r="J93" i="151" s="1"/>
  <c r="I60" i="57"/>
  <c r="I55" i="57"/>
  <c r="J55" i="57" s="1"/>
  <c r="C91" i="57"/>
  <c r="E94" i="50"/>
  <c r="G21" i="63"/>
  <c r="I65" i="57"/>
  <c r="J33" i="162"/>
  <c r="F15" i="152"/>
  <c r="C71" i="153"/>
  <c r="C6" i="107"/>
  <c r="D45" i="107"/>
  <c r="L85" i="126"/>
  <c r="L87" i="126" s="1"/>
  <c r="L97" i="126" s="1"/>
  <c r="I67" i="57"/>
  <c r="J67" i="57" s="1"/>
  <c r="F88" i="108"/>
  <c r="F91" i="108" s="1"/>
  <c r="B91" i="108"/>
  <c r="F12" i="108"/>
  <c r="F15" i="108" s="1"/>
  <c r="B15" i="108"/>
  <c r="F28" i="108"/>
  <c r="B35" i="108"/>
  <c r="G26" i="63"/>
  <c r="H26" i="12"/>
  <c r="H26" i="73"/>
  <c r="C19" i="57"/>
  <c r="F50" i="108"/>
  <c r="F80" i="108" s="1"/>
  <c r="B80" i="108"/>
  <c r="C101" i="57"/>
  <c r="F8" i="152"/>
  <c r="F109" i="151"/>
  <c r="G35" i="151"/>
  <c r="G65" i="140"/>
  <c r="G64" i="140"/>
  <c r="G57" i="140"/>
  <c r="G46" i="140"/>
  <c r="I84" i="126"/>
  <c r="J84" i="126" s="1"/>
  <c r="G84" i="126"/>
  <c r="N38" i="151"/>
  <c r="I38" i="151"/>
  <c r="J38" i="151" s="1"/>
  <c r="N58" i="151"/>
  <c r="I58" i="151"/>
  <c r="J58" i="151" s="1"/>
  <c r="G37" i="140"/>
  <c r="G70" i="140"/>
  <c r="G79" i="140"/>
  <c r="G53" i="140"/>
  <c r="G69" i="140"/>
  <c r="G60" i="140"/>
  <c r="G81" i="140"/>
  <c r="G54" i="140"/>
  <c r="G72" i="140"/>
  <c r="G39" i="140"/>
  <c r="G71" i="140"/>
  <c r="G28" i="140"/>
  <c r="G38" i="140"/>
  <c r="G11" i="140"/>
  <c r="G56" i="140"/>
  <c r="E20" i="2"/>
  <c r="N77" i="140"/>
  <c r="I77" i="140"/>
  <c r="J77" i="140" s="1"/>
  <c r="G47" i="140"/>
  <c r="G59" i="140"/>
  <c r="G27" i="140"/>
  <c r="G55" i="140"/>
  <c r="G27" i="126"/>
  <c r="G70" i="126"/>
  <c r="C74" i="140"/>
  <c r="I74" i="140" s="1"/>
  <c r="J74" i="140" s="1"/>
  <c r="C76" i="140"/>
  <c r="B26" i="154"/>
  <c r="D26" i="154" s="1"/>
  <c r="E26" i="154" s="1"/>
  <c r="F30" i="108"/>
  <c r="G51" i="126"/>
  <c r="G73" i="126"/>
  <c r="G72" i="126"/>
  <c r="G17" i="126"/>
  <c r="G68" i="126"/>
  <c r="G38" i="126"/>
  <c r="G58" i="126"/>
  <c r="G18" i="126"/>
  <c r="G91" i="126"/>
  <c r="G31" i="126"/>
  <c r="G55" i="126"/>
  <c r="G29" i="126"/>
  <c r="G35" i="126"/>
  <c r="G62" i="126"/>
  <c r="G74" i="126"/>
  <c r="G60" i="126"/>
  <c r="C72" i="140"/>
  <c r="G61" i="126"/>
  <c r="G71" i="126"/>
  <c r="G48" i="126"/>
  <c r="G45" i="126"/>
  <c r="G79" i="126"/>
  <c r="G16" i="126"/>
  <c r="G44" i="126"/>
  <c r="G56" i="126"/>
  <c r="G94" i="126"/>
  <c r="G36" i="126"/>
  <c r="G28" i="126"/>
  <c r="G76" i="126"/>
  <c r="G34" i="126"/>
  <c r="F46" i="152"/>
  <c r="G46" i="152" s="1"/>
  <c r="C11" i="107"/>
  <c r="C89" i="107" s="1"/>
  <c r="B43" i="157"/>
  <c r="D43" i="157" s="1"/>
  <c r="B54" i="155"/>
  <c r="D54" i="155" s="1"/>
  <c r="E54" i="155" s="1"/>
  <c r="B29" i="155"/>
  <c r="D29" i="155" s="1"/>
  <c r="E29" i="155" s="1"/>
  <c r="G33" i="152"/>
  <c r="F20" i="152"/>
  <c r="B24" i="165" s="1"/>
  <c r="D35" i="152"/>
  <c r="F35" i="152" s="1"/>
  <c r="B58" i="155"/>
  <c r="D58" i="155" s="1"/>
  <c r="E58" i="155" s="1"/>
  <c r="B23" i="154"/>
  <c r="D23" i="154" s="1"/>
  <c r="F66" i="152"/>
  <c r="B7" i="157" s="1"/>
  <c r="D30" i="155"/>
  <c r="D72" i="159"/>
  <c r="I63" i="159"/>
  <c r="J63" i="159" s="1"/>
  <c r="D80" i="159"/>
  <c r="I56" i="159"/>
  <c r="J56" i="159" s="1"/>
  <c r="D31" i="159"/>
  <c r="I43" i="159"/>
  <c r="J43" i="159" s="1"/>
  <c r="D48" i="159"/>
  <c r="D29" i="159"/>
  <c r="D45" i="159"/>
  <c r="D84" i="159"/>
  <c r="D52" i="159"/>
  <c r="D24" i="159"/>
  <c r="D75" i="159"/>
  <c r="D62" i="159"/>
  <c r="D59" i="159"/>
  <c r="D22" i="159"/>
  <c r="I66" i="159"/>
  <c r="L66" i="159" s="1"/>
  <c r="D55" i="159"/>
  <c r="D33" i="159"/>
  <c r="I51" i="159"/>
  <c r="J51" i="159" s="1"/>
  <c r="D23" i="159"/>
  <c r="D81" i="159"/>
  <c r="D77" i="159"/>
  <c r="I58" i="159"/>
  <c r="D64" i="159"/>
  <c r="D54" i="159"/>
  <c r="L75" i="159"/>
  <c r="J75" i="159"/>
  <c r="N74" i="151"/>
  <c r="I74" i="151"/>
  <c r="J74" i="151" s="1"/>
  <c r="H7" i="162"/>
  <c r="C70" i="162"/>
  <c r="H43" i="162"/>
  <c r="C64" i="162"/>
  <c r="J64" i="162" s="1"/>
  <c r="J71" i="162"/>
  <c r="C55" i="162"/>
  <c r="J55" i="162" s="1"/>
  <c r="J15" i="162"/>
  <c r="J41" i="162"/>
  <c r="G49" i="152"/>
  <c r="M4" i="146"/>
  <c r="M4" i="70"/>
  <c r="E6" i="157"/>
  <c r="J32" i="162"/>
  <c r="G37" i="152"/>
  <c r="J10" i="162"/>
  <c r="J80" i="162"/>
  <c r="C79" i="162"/>
  <c r="C86" i="162"/>
  <c r="D9" i="152"/>
  <c r="J21" i="162"/>
  <c r="E17" i="163"/>
  <c r="E43" i="163" s="1"/>
  <c r="D38" i="165" l="1"/>
  <c r="G89" i="50"/>
  <c r="E74" i="50"/>
  <c r="E73" i="50"/>
  <c r="E81" i="50"/>
  <c r="G25" i="140"/>
  <c r="G29" i="140"/>
  <c r="D71" i="2"/>
  <c r="D85" i="2" s="1"/>
  <c r="D87" i="2" s="1"/>
  <c r="G82" i="162"/>
  <c r="I82" i="162" s="1"/>
  <c r="G75" i="152"/>
  <c r="B58" i="157"/>
  <c r="D58" i="157" s="1"/>
  <c r="D16" i="153"/>
  <c r="D17" i="153"/>
  <c r="B59" i="155"/>
  <c r="D59" i="155" s="1"/>
  <c r="E59" i="155" s="1"/>
  <c r="J70" i="162"/>
  <c r="J39" i="162"/>
  <c r="G86" i="162"/>
  <c r="I86" i="162" s="1"/>
  <c r="J86" i="162" s="1"/>
  <c r="B39" i="154"/>
  <c r="B39" i="165"/>
  <c r="D15" i="153"/>
  <c r="D14" i="153"/>
  <c r="B33" i="165"/>
  <c r="B31" i="155"/>
  <c r="D31" i="155" s="1"/>
  <c r="E31" i="155" s="1"/>
  <c r="B31" i="165"/>
  <c r="G60" i="152"/>
  <c r="F34" i="165"/>
  <c r="D34" i="165"/>
  <c r="F16" i="165"/>
  <c r="G16" i="165" s="1"/>
  <c r="D16" i="165"/>
  <c r="B15" i="154"/>
  <c r="D15" i="154" s="1"/>
  <c r="B15" i="165"/>
  <c r="F26" i="165"/>
  <c r="D26" i="165"/>
  <c r="F24" i="165"/>
  <c r="D24" i="165"/>
  <c r="B25" i="154"/>
  <c r="D25" i="154" s="1"/>
  <c r="E25" i="154" s="1"/>
  <c r="B25" i="165"/>
  <c r="G38" i="165"/>
  <c r="C51" i="162"/>
  <c r="F15" i="163"/>
  <c r="G15" i="163" s="1"/>
  <c r="C75" i="162"/>
  <c r="I49" i="162"/>
  <c r="J49" i="162" s="1"/>
  <c r="B33" i="154"/>
  <c r="H74" i="152"/>
  <c r="H73" i="152"/>
  <c r="H67" i="152"/>
  <c r="H75" i="152"/>
  <c r="H70" i="152"/>
  <c r="H66" i="152"/>
  <c r="H72" i="152"/>
  <c r="H69" i="152"/>
  <c r="H68" i="152"/>
  <c r="H71" i="152"/>
  <c r="H16" i="73"/>
  <c r="E63" i="50"/>
  <c r="E64" i="50"/>
  <c r="E66" i="50"/>
  <c r="E67" i="50"/>
  <c r="E65" i="50"/>
  <c r="D77" i="153"/>
  <c r="D33" i="153"/>
  <c r="F76" i="152"/>
  <c r="G76" i="152" s="1"/>
  <c r="E82" i="50"/>
  <c r="E57" i="50"/>
  <c r="D19" i="126"/>
  <c r="E71" i="2"/>
  <c r="G61" i="140"/>
  <c r="G52" i="140"/>
  <c r="G82" i="140"/>
  <c r="G74" i="140"/>
  <c r="G26" i="140"/>
  <c r="G58" i="140"/>
  <c r="G35" i="140"/>
  <c r="G76" i="140"/>
  <c r="G67" i="140"/>
  <c r="G75" i="140"/>
  <c r="C85" i="126"/>
  <c r="B20" i="157"/>
  <c r="D20" i="157" s="1"/>
  <c r="B38" i="157"/>
  <c r="D38" i="157" s="1"/>
  <c r="G7" i="152"/>
  <c r="D46" i="151"/>
  <c r="D50" i="151"/>
  <c r="D54" i="151"/>
  <c r="C20" i="162"/>
  <c r="D58" i="151"/>
  <c r="D64" i="151"/>
  <c r="D37" i="151"/>
  <c r="D53" i="151"/>
  <c r="G83" i="151"/>
  <c r="D17" i="151"/>
  <c r="D81" i="151"/>
  <c r="D35" i="151"/>
  <c r="D51" i="151"/>
  <c r="D18" i="151"/>
  <c r="D28" i="151"/>
  <c r="D32" i="151"/>
  <c r="D38" i="151"/>
  <c r="D52" i="151"/>
  <c r="D82" i="151"/>
  <c r="D26" i="151"/>
  <c r="D84" i="151"/>
  <c r="G35" i="152"/>
  <c r="D78" i="151"/>
  <c r="D65" i="151"/>
  <c r="D62" i="151"/>
  <c r="D69" i="151"/>
  <c r="D16" i="151"/>
  <c r="D30" i="151"/>
  <c r="D33" i="151"/>
  <c r="D49" i="151"/>
  <c r="D57" i="151"/>
  <c r="D47" i="151"/>
  <c r="D77" i="151"/>
  <c r="D59" i="151"/>
  <c r="D83" i="151"/>
  <c r="D45" i="151"/>
  <c r="D55" i="151"/>
  <c r="D79" i="151"/>
  <c r="J9" i="151"/>
  <c r="D48" i="151"/>
  <c r="D60" i="151"/>
  <c r="D85" i="151"/>
  <c r="G84" i="151"/>
  <c r="D34" i="151"/>
  <c r="D74" i="151"/>
  <c r="D56" i="151"/>
  <c r="D67" i="151"/>
  <c r="D70" i="151"/>
  <c r="D93" i="151"/>
  <c r="D71" i="151"/>
  <c r="D63" i="151"/>
  <c r="D39" i="151"/>
  <c r="D11" i="151"/>
  <c r="D27" i="151"/>
  <c r="D75" i="151"/>
  <c r="D31" i="151"/>
  <c r="D25" i="151"/>
  <c r="D96" i="151"/>
  <c r="D68" i="151"/>
  <c r="N76" i="151"/>
  <c r="D94" i="108"/>
  <c r="C71" i="2"/>
  <c r="C85" i="2" s="1"/>
  <c r="C87" i="2" s="1"/>
  <c r="G86" i="151"/>
  <c r="D17" i="50"/>
  <c r="D52" i="50" s="1"/>
  <c r="H13" i="73"/>
  <c r="G15" i="63"/>
  <c r="M10" i="86" s="1"/>
  <c r="G16" i="63"/>
  <c r="I20" i="126"/>
  <c r="J20" i="126" s="1"/>
  <c r="D76" i="151"/>
  <c r="H25" i="12"/>
  <c r="G13" i="63"/>
  <c r="O7" i="70" s="1"/>
  <c r="L20" i="126"/>
  <c r="I85" i="126"/>
  <c r="J85" i="126" s="1"/>
  <c r="D62" i="153"/>
  <c r="D65" i="153"/>
  <c r="D66" i="153"/>
  <c r="D59" i="153"/>
  <c r="D64" i="153"/>
  <c r="D67" i="153"/>
  <c r="D63" i="153"/>
  <c r="D61" i="153"/>
  <c r="D60" i="153"/>
  <c r="H76" i="153"/>
  <c r="C14" i="162"/>
  <c r="C20" i="151"/>
  <c r="D20" i="151" s="1"/>
  <c r="E73" i="153"/>
  <c r="E80" i="153" s="1"/>
  <c r="F80" i="153" s="1"/>
  <c r="D9" i="151"/>
  <c r="D61" i="151"/>
  <c r="D36" i="151"/>
  <c r="G85" i="151"/>
  <c r="C109" i="151"/>
  <c r="D109" i="151" s="1"/>
  <c r="D66" i="151"/>
  <c r="D80" i="151"/>
  <c r="D53" i="153"/>
  <c r="D57" i="153"/>
  <c r="D50" i="153"/>
  <c r="D54" i="153"/>
  <c r="D31" i="153"/>
  <c r="D41" i="153"/>
  <c r="D69" i="153"/>
  <c r="D40" i="153"/>
  <c r="D58" i="153"/>
  <c r="D38" i="153"/>
  <c r="D29" i="153"/>
  <c r="C20" i="153"/>
  <c r="D20" i="153" s="1"/>
  <c r="D45" i="153"/>
  <c r="B16" i="108"/>
  <c r="D25" i="57"/>
  <c r="D60" i="57"/>
  <c r="D37" i="153"/>
  <c r="D27" i="153"/>
  <c r="D42" i="153"/>
  <c r="D39" i="153"/>
  <c r="D28" i="153"/>
  <c r="D70" i="153"/>
  <c r="D48" i="153"/>
  <c r="D25" i="153"/>
  <c r="F16" i="108"/>
  <c r="D32" i="153"/>
  <c r="D43" i="153"/>
  <c r="D10" i="154"/>
  <c r="E10" i="154" s="1"/>
  <c r="D34" i="153"/>
  <c r="D55" i="153"/>
  <c r="D10" i="153"/>
  <c r="D44" i="153"/>
  <c r="D8" i="153"/>
  <c r="D35" i="153"/>
  <c r="D52" i="153"/>
  <c r="D26" i="153"/>
  <c r="D9" i="153"/>
  <c r="D49" i="153"/>
  <c r="D46" i="153"/>
  <c r="D36" i="153"/>
  <c r="D76" i="153"/>
  <c r="D30" i="153"/>
  <c r="D78" i="153"/>
  <c r="D24" i="153"/>
  <c r="B52" i="155"/>
  <c r="D52" i="155" s="1"/>
  <c r="E52" i="155" s="1"/>
  <c r="D56" i="153"/>
  <c r="D68" i="153"/>
  <c r="D51" i="153"/>
  <c r="D47" i="153"/>
  <c r="B71" i="2"/>
  <c r="B85" i="2" s="1"/>
  <c r="B87" i="2" s="1"/>
  <c r="G18" i="153"/>
  <c r="H18" i="153" s="1"/>
  <c r="H16" i="153"/>
  <c r="C37" i="162"/>
  <c r="G37" i="162" s="1"/>
  <c r="F87" i="126"/>
  <c r="G87" i="126" s="1"/>
  <c r="E34" i="164"/>
  <c r="G10" i="153"/>
  <c r="H10" i="153" s="1"/>
  <c r="G115" i="151"/>
  <c r="D85" i="126"/>
  <c r="C87" i="126"/>
  <c r="C16" i="163"/>
  <c r="F13" i="163"/>
  <c r="F7" i="163"/>
  <c r="G7" i="163" s="1"/>
  <c r="C9" i="163"/>
  <c r="I111" i="151"/>
  <c r="J111" i="151" s="1"/>
  <c r="C12" i="107"/>
  <c r="I19" i="151"/>
  <c r="J19" i="151" s="1"/>
  <c r="D19" i="151"/>
  <c r="E12" i="107"/>
  <c r="F12" i="107" s="1"/>
  <c r="G86" i="140"/>
  <c r="F115" i="140"/>
  <c r="J11" i="140"/>
  <c r="D47" i="57"/>
  <c r="D69" i="57"/>
  <c r="D54" i="57"/>
  <c r="G25" i="63"/>
  <c r="D36" i="57"/>
  <c r="D49" i="57"/>
  <c r="D79" i="57"/>
  <c r="D64" i="57"/>
  <c r="C45" i="162"/>
  <c r="D18" i="152"/>
  <c r="D40" i="152" s="1"/>
  <c r="D57" i="57"/>
  <c r="D38" i="57"/>
  <c r="D68" i="57"/>
  <c r="B31" i="154"/>
  <c r="D31" i="154" s="1"/>
  <c r="E31" i="154" s="1"/>
  <c r="D18" i="153"/>
  <c r="D74" i="140"/>
  <c r="I96" i="151"/>
  <c r="J96" i="151" s="1"/>
  <c r="C120" i="151"/>
  <c r="J9" i="140"/>
  <c r="B44" i="157"/>
  <c r="D44" i="157" s="1"/>
  <c r="E44" i="157" s="1"/>
  <c r="N73" i="151"/>
  <c r="D73" i="151"/>
  <c r="I73" i="151"/>
  <c r="J73" i="151" s="1"/>
  <c r="I72" i="151"/>
  <c r="J72" i="151" s="1"/>
  <c r="N72" i="151"/>
  <c r="D72" i="151"/>
  <c r="N74" i="140"/>
  <c r="C86" i="151"/>
  <c r="C115" i="151" s="1"/>
  <c r="C114" i="140"/>
  <c r="I40" i="140"/>
  <c r="J40" i="140" s="1"/>
  <c r="D40" i="140"/>
  <c r="F11" i="107"/>
  <c r="E89" i="107"/>
  <c r="F89" i="107" s="1"/>
  <c r="C86" i="140"/>
  <c r="I86" i="140" s="1"/>
  <c r="J86" i="140" s="1"/>
  <c r="C114" i="151"/>
  <c r="D40" i="151"/>
  <c r="B103" i="36"/>
  <c r="C104" i="57"/>
  <c r="G29" i="63" s="1"/>
  <c r="B116" i="36"/>
  <c r="D29" i="57"/>
  <c r="D53" i="57"/>
  <c r="D37" i="57"/>
  <c r="D63" i="57"/>
  <c r="D70" i="57"/>
  <c r="D31" i="57"/>
  <c r="D28" i="57"/>
  <c r="D84" i="57"/>
  <c r="D58" i="57"/>
  <c r="D86" i="57"/>
  <c r="D73" i="57"/>
  <c r="D101" i="57"/>
  <c r="D33" i="57"/>
  <c r="D39" i="57"/>
  <c r="D16" i="57"/>
  <c r="D52" i="57"/>
  <c r="D71" i="57"/>
  <c r="D75" i="57"/>
  <c r="D85" i="57"/>
  <c r="D61" i="57"/>
  <c r="D17" i="57"/>
  <c r="D35" i="57"/>
  <c r="D18" i="57"/>
  <c r="D55" i="57"/>
  <c r="D82" i="57"/>
  <c r="D26" i="57"/>
  <c r="D77" i="57"/>
  <c r="D9" i="57"/>
  <c r="D81" i="57"/>
  <c r="D62" i="57"/>
  <c r="D46" i="57"/>
  <c r="D66" i="57"/>
  <c r="D88" i="57"/>
  <c r="D27" i="57"/>
  <c r="D76" i="57"/>
  <c r="F114" i="151"/>
  <c r="I40" i="151"/>
  <c r="J40" i="151" s="1"/>
  <c r="F87" i="151"/>
  <c r="G40" i="151"/>
  <c r="D65" i="57"/>
  <c r="F94" i="57"/>
  <c r="G92" i="57"/>
  <c r="C120" i="140"/>
  <c r="I96" i="140"/>
  <c r="J96" i="140" s="1"/>
  <c r="D96" i="140"/>
  <c r="F12" i="65"/>
  <c r="D14" i="65"/>
  <c r="D18" i="65" s="1"/>
  <c r="C9" i="162"/>
  <c r="C90" i="107"/>
  <c r="C96" i="107" s="1"/>
  <c r="C97" i="107" s="1"/>
  <c r="G48" i="140"/>
  <c r="G45" i="140"/>
  <c r="G66" i="140"/>
  <c r="G68" i="140"/>
  <c r="G36" i="140"/>
  <c r="G33" i="140"/>
  <c r="G50" i="140"/>
  <c r="G49" i="140"/>
  <c r="G62" i="140"/>
  <c r="G17" i="140"/>
  <c r="G19" i="140"/>
  <c r="G40" i="140"/>
  <c r="G93" i="140"/>
  <c r="G31" i="140"/>
  <c r="G51" i="140"/>
  <c r="G30" i="140"/>
  <c r="G18" i="140"/>
  <c r="G32" i="140"/>
  <c r="F20" i="140"/>
  <c r="G20" i="140" s="1"/>
  <c r="G63" i="140"/>
  <c r="G73" i="140"/>
  <c r="F109" i="140"/>
  <c r="G80" i="140"/>
  <c r="G78" i="140"/>
  <c r="G34" i="140"/>
  <c r="G16" i="140"/>
  <c r="G87" i="140"/>
  <c r="G77" i="140"/>
  <c r="G87" i="159"/>
  <c r="F89" i="159"/>
  <c r="F89" i="140"/>
  <c r="G96" i="140"/>
  <c r="D89" i="159"/>
  <c r="I89" i="159"/>
  <c r="J89" i="159" s="1"/>
  <c r="C99" i="159"/>
  <c r="G8" i="152"/>
  <c r="B42" i="155"/>
  <c r="C92" i="57"/>
  <c r="C94" i="57" s="1"/>
  <c r="D19" i="57"/>
  <c r="E105" i="50"/>
  <c r="C20" i="140"/>
  <c r="C111" i="140"/>
  <c r="I19" i="140"/>
  <c r="J19" i="140" s="1"/>
  <c r="D19" i="140"/>
  <c r="D41" i="57"/>
  <c r="I41" i="57"/>
  <c r="J41" i="57" s="1"/>
  <c r="I19" i="57"/>
  <c r="J19" i="57" s="1"/>
  <c r="B53" i="155"/>
  <c r="D53" i="155" s="1"/>
  <c r="E53" i="155" s="1"/>
  <c r="N76" i="140"/>
  <c r="I76" i="140"/>
  <c r="J76" i="140" s="1"/>
  <c r="D76" i="140"/>
  <c r="I101" i="57"/>
  <c r="C113" i="57"/>
  <c r="I113" i="57" s="1"/>
  <c r="K113" i="57" s="1"/>
  <c r="F35" i="108"/>
  <c r="F81" i="108" s="1"/>
  <c r="F83" i="108" s="1"/>
  <c r="F94" i="108" s="1"/>
  <c r="E58" i="50"/>
  <c r="E80" i="50"/>
  <c r="E59" i="50"/>
  <c r="E72" i="50"/>
  <c r="E85" i="50"/>
  <c r="E69" i="50"/>
  <c r="E62" i="50"/>
  <c r="D108" i="50"/>
  <c r="E70" i="50"/>
  <c r="E68" i="50"/>
  <c r="E75" i="50"/>
  <c r="E78" i="50"/>
  <c r="E77" i="50"/>
  <c r="E76" i="50"/>
  <c r="E84" i="50"/>
  <c r="E61" i="50"/>
  <c r="E60" i="50"/>
  <c r="E88" i="50"/>
  <c r="E83" i="50"/>
  <c r="E79" i="50"/>
  <c r="E71" i="50"/>
  <c r="E87" i="50"/>
  <c r="F120" i="151"/>
  <c r="G96" i="151"/>
  <c r="H30" i="12"/>
  <c r="B13" i="157"/>
  <c r="B17" i="155"/>
  <c r="D17" i="155" s="1"/>
  <c r="E17" i="155" s="1"/>
  <c r="D32" i="154"/>
  <c r="E32" i="154" s="1"/>
  <c r="N72" i="140"/>
  <c r="D72" i="140"/>
  <c r="I72" i="140"/>
  <c r="J72" i="140" s="1"/>
  <c r="B81" i="108"/>
  <c r="B83" i="108" s="1"/>
  <c r="B94" i="108" s="1"/>
  <c r="B46" i="155"/>
  <c r="D46" i="155" s="1"/>
  <c r="G15" i="152"/>
  <c r="D48" i="57"/>
  <c r="D11" i="57"/>
  <c r="H25" i="73"/>
  <c r="D56" i="57"/>
  <c r="D83" i="57"/>
  <c r="D30" i="57"/>
  <c r="D59" i="57"/>
  <c r="D87" i="57"/>
  <c r="D34" i="57"/>
  <c r="I11" i="57"/>
  <c r="J11" i="57" s="1"/>
  <c r="D32" i="57"/>
  <c r="D89" i="57"/>
  <c r="C20" i="57"/>
  <c r="D50" i="57"/>
  <c r="D80" i="57"/>
  <c r="D99" i="57"/>
  <c r="H28" i="12"/>
  <c r="G111" i="151"/>
  <c r="G109" i="151"/>
  <c r="F112" i="151"/>
  <c r="G71" i="153"/>
  <c r="H71" i="153" s="1"/>
  <c r="D71" i="153"/>
  <c r="I91" i="57"/>
  <c r="J91" i="57" s="1"/>
  <c r="D91" i="57"/>
  <c r="G28" i="63"/>
  <c r="M16" i="146" s="1"/>
  <c r="H28" i="73"/>
  <c r="B24" i="154"/>
  <c r="G29" i="152"/>
  <c r="G20" i="152"/>
  <c r="B25" i="157"/>
  <c r="B18" i="155"/>
  <c r="B40" i="155"/>
  <c r="D40" i="155" s="1"/>
  <c r="E40" i="155" s="1"/>
  <c r="E48" i="155" s="1"/>
  <c r="G66" i="152"/>
  <c r="B15" i="155"/>
  <c r="F9" i="152"/>
  <c r="H9" i="152"/>
  <c r="J79" i="162"/>
  <c r="C77" i="162"/>
  <c r="J77" i="162" s="1"/>
  <c r="E23" i="154"/>
  <c r="B32" i="155"/>
  <c r="G39" i="152"/>
  <c r="D62" i="152"/>
  <c r="H47" i="152" s="1"/>
  <c r="B55" i="155"/>
  <c r="F17" i="152"/>
  <c r="E52" i="163"/>
  <c r="F97" i="126" l="1"/>
  <c r="H58" i="152"/>
  <c r="H26" i="152"/>
  <c r="H25" i="152"/>
  <c r="H16" i="152"/>
  <c r="H24" i="152"/>
  <c r="H21" i="152"/>
  <c r="H22" i="152"/>
  <c r="H54" i="152"/>
  <c r="E51" i="50"/>
  <c r="E33" i="50"/>
  <c r="E34" i="50"/>
  <c r="E35" i="50"/>
  <c r="E38" i="50"/>
  <c r="E36" i="50"/>
  <c r="E37" i="50"/>
  <c r="E16" i="50"/>
  <c r="F53" i="50"/>
  <c r="G77" i="162"/>
  <c r="L43" i="162" s="1"/>
  <c r="H48" i="152"/>
  <c r="H50" i="152"/>
  <c r="H46" i="152"/>
  <c r="H53" i="152"/>
  <c r="H49" i="152"/>
  <c r="H51" i="152"/>
  <c r="H52" i="152"/>
  <c r="F39" i="165"/>
  <c r="D39" i="165"/>
  <c r="D40" i="165" s="1"/>
  <c r="B40" i="165"/>
  <c r="F33" i="165"/>
  <c r="D33" i="165"/>
  <c r="F31" i="165"/>
  <c r="D31" i="165"/>
  <c r="B35" i="165"/>
  <c r="F15" i="165"/>
  <c r="G15" i="165" s="1"/>
  <c r="D15" i="165"/>
  <c r="B14" i="154"/>
  <c r="B14" i="165"/>
  <c r="F25" i="165"/>
  <c r="F27" i="165" s="1"/>
  <c r="D25" i="165"/>
  <c r="D27" i="165" s="1"/>
  <c r="B27" i="165"/>
  <c r="D40" i="163"/>
  <c r="D41" i="163"/>
  <c r="D15" i="163"/>
  <c r="F16" i="163"/>
  <c r="G16" i="163" s="1"/>
  <c r="I53" i="162"/>
  <c r="J53" i="162" s="1"/>
  <c r="G51" i="162"/>
  <c r="I51" i="162" s="1"/>
  <c r="J51" i="162" s="1"/>
  <c r="G9" i="162"/>
  <c r="I9" i="162" s="1"/>
  <c r="J9" i="162" s="1"/>
  <c r="I11" i="162"/>
  <c r="J11" i="162" s="1"/>
  <c r="G45" i="162"/>
  <c r="I46" i="162"/>
  <c r="J46" i="162" s="1"/>
  <c r="I76" i="162"/>
  <c r="J76" i="162" s="1"/>
  <c r="G75" i="162"/>
  <c r="I75" i="162" s="1"/>
  <c r="J75" i="162" s="1"/>
  <c r="I22" i="162"/>
  <c r="J22" i="162" s="1"/>
  <c r="G20" i="162"/>
  <c r="I20" i="162" s="1"/>
  <c r="J20" i="162" s="1"/>
  <c r="H11" i="152"/>
  <c r="G14" i="162"/>
  <c r="G7" i="162" s="1"/>
  <c r="I18" i="162"/>
  <c r="J18" i="162" s="1"/>
  <c r="D14" i="163"/>
  <c r="C43" i="162"/>
  <c r="H57" i="152"/>
  <c r="H45" i="152"/>
  <c r="D49" i="163"/>
  <c r="F18" i="152"/>
  <c r="M10" i="146"/>
  <c r="M10" i="70"/>
  <c r="F10" i="69"/>
  <c r="I10" i="69" s="1"/>
  <c r="I87" i="126"/>
  <c r="J87" i="126" s="1"/>
  <c r="D114" i="151"/>
  <c r="I109" i="151"/>
  <c r="J109" i="151" s="1"/>
  <c r="O7" i="146"/>
  <c r="O7" i="86"/>
  <c r="D115" i="151"/>
  <c r="I20" i="151"/>
  <c r="J20" i="151" s="1"/>
  <c r="D111" i="151"/>
  <c r="D120" i="151"/>
  <c r="C112" i="151"/>
  <c r="D112" i="151" s="1"/>
  <c r="F73" i="153"/>
  <c r="I86" i="151"/>
  <c r="J86" i="151" s="1"/>
  <c r="I114" i="151"/>
  <c r="J114" i="151" s="1"/>
  <c r="C73" i="153"/>
  <c r="D73" i="153" s="1"/>
  <c r="G20" i="153"/>
  <c r="H20" i="153" s="1"/>
  <c r="H55" i="152"/>
  <c r="G114" i="151"/>
  <c r="C97" i="126"/>
  <c r="D87" i="126"/>
  <c r="C36" i="162"/>
  <c r="D16" i="163"/>
  <c r="D7" i="163"/>
  <c r="D37" i="163"/>
  <c r="D27" i="163"/>
  <c r="D47" i="163"/>
  <c r="D30" i="163"/>
  <c r="D23" i="163"/>
  <c r="D26" i="163"/>
  <c r="D31" i="163"/>
  <c r="D8" i="163"/>
  <c r="D22" i="163"/>
  <c r="F25" i="163"/>
  <c r="F22" i="163"/>
  <c r="F31" i="163"/>
  <c r="D25" i="163"/>
  <c r="D24" i="163"/>
  <c r="C17" i="163"/>
  <c r="D9" i="163"/>
  <c r="F33" i="163"/>
  <c r="F32" i="163"/>
  <c r="F28" i="163"/>
  <c r="D13" i="163"/>
  <c r="D50" i="163"/>
  <c r="F9" i="163"/>
  <c r="G9" i="163" s="1"/>
  <c r="F27" i="163"/>
  <c r="F24" i="163"/>
  <c r="F35" i="163"/>
  <c r="F30" i="163"/>
  <c r="D21" i="163"/>
  <c r="D48" i="163"/>
  <c r="D34" i="163"/>
  <c r="D29" i="163"/>
  <c r="F21" i="163"/>
  <c r="F29" i="163"/>
  <c r="F26" i="163"/>
  <c r="F34" i="163"/>
  <c r="D32" i="163"/>
  <c r="D35" i="163"/>
  <c r="F23" i="163"/>
  <c r="D33" i="163"/>
  <c r="D28" i="163"/>
  <c r="C115" i="140"/>
  <c r="I115" i="140" s="1"/>
  <c r="J115" i="140" s="1"/>
  <c r="C87" i="140"/>
  <c r="I87" i="140" s="1"/>
  <c r="J87" i="140" s="1"/>
  <c r="E90" i="107"/>
  <c r="F90" i="107" s="1"/>
  <c r="C87" i="151"/>
  <c r="C89" i="151" s="1"/>
  <c r="D86" i="140"/>
  <c r="G35" i="63"/>
  <c r="D53" i="50"/>
  <c r="G36" i="63"/>
  <c r="D86" i="151"/>
  <c r="I115" i="151"/>
  <c r="J115" i="151" s="1"/>
  <c r="D114" i="140"/>
  <c r="I114" i="140"/>
  <c r="J114" i="140" s="1"/>
  <c r="H22" i="73"/>
  <c r="I15" i="70"/>
  <c r="R29" i="63"/>
  <c r="I15" i="86"/>
  <c r="I15" i="146"/>
  <c r="D104" i="57"/>
  <c r="C105" i="57"/>
  <c r="H29" i="12"/>
  <c r="C110" i="57"/>
  <c r="H23" i="73"/>
  <c r="H29" i="73"/>
  <c r="G23" i="63"/>
  <c r="G22" i="63"/>
  <c r="B59" i="157"/>
  <c r="D59" i="157" s="1"/>
  <c r="E59" i="157" s="1"/>
  <c r="E17" i="50"/>
  <c r="D120" i="140"/>
  <c r="I120" i="140"/>
  <c r="J120" i="140" s="1"/>
  <c r="F89" i="151"/>
  <c r="F116" i="151"/>
  <c r="G87" i="151"/>
  <c r="D99" i="159"/>
  <c r="C105" i="159"/>
  <c r="F99" i="140"/>
  <c r="G89" i="140"/>
  <c r="G94" i="57"/>
  <c r="F104" i="57"/>
  <c r="G89" i="159"/>
  <c r="F99" i="159"/>
  <c r="G109" i="140"/>
  <c r="F112" i="140"/>
  <c r="G112" i="140" s="1"/>
  <c r="I109" i="140"/>
  <c r="J109" i="140" s="1"/>
  <c r="F118" i="140"/>
  <c r="G116" i="140"/>
  <c r="G120" i="140"/>
  <c r="G115" i="140"/>
  <c r="G114" i="140"/>
  <c r="G111" i="140"/>
  <c r="M16" i="70"/>
  <c r="M16" i="86"/>
  <c r="G112" i="151"/>
  <c r="H24" i="12"/>
  <c r="H22" i="12"/>
  <c r="I94" i="57"/>
  <c r="J94" i="57" s="1"/>
  <c r="H23" i="12"/>
  <c r="D94" i="57"/>
  <c r="D92" i="57"/>
  <c r="I92" i="57"/>
  <c r="J92" i="57" s="1"/>
  <c r="B14" i="157"/>
  <c r="D14" i="157" s="1"/>
  <c r="E14" i="157" s="1"/>
  <c r="E108" i="50"/>
  <c r="H40" i="73"/>
  <c r="H21" i="73"/>
  <c r="D109" i="50"/>
  <c r="F103" i="126"/>
  <c r="G97" i="126"/>
  <c r="I97" i="126"/>
  <c r="J97" i="126" s="1"/>
  <c r="G120" i="151"/>
  <c r="I120" i="151"/>
  <c r="J120" i="151" s="1"/>
  <c r="E89" i="50"/>
  <c r="E28" i="50"/>
  <c r="E46" i="50"/>
  <c r="E32" i="50"/>
  <c r="E49" i="50"/>
  <c r="E47" i="50"/>
  <c r="H39" i="73"/>
  <c r="E20" i="50"/>
  <c r="H27" i="73"/>
  <c r="E11" i="50"/>
  <c r="E9" i="50"/>
  <c r="E19" i="50"/>
  <c r="E23" i="50"/>
  <c r="E12" i="50"/>
  <c r="E41" i="50"/>
  <c r="G8" i="63"/>
  <c r="E10" i="50"/>
  <c r="E44" i="50"/>
  <c r="E25" i="50"/>
  <c r="G7" i="63"/>
  <c r="E21" i="50"/>
  <c r="G27" i="63"/>
  <c r="E22" i="50"/>
  <c r="E29" i="50"/>
  <c r="G38" i="63"/>
  <c r="E43" i="50"/>
  <c r="E13" i="50"/>
  <c r="E50" i="50"/>
  <c r="H36" i="73"/>
  <c r="E30" i="50"/>
  <c r="G37" i="63"/>
  <c r="G39" i="63"/>
  <c r="H8" i="73"/>
  <c r="E26" i="50"/>
  <c r="E48" i="50"/>
  <c r="E39" i="50"/>
  <c r="H37" i="73"/>
  <c r="H7" i="73"/>
  <c r="E52" i="50"/>
  <c r="E14" i="50"/>
  <c r="E24" i="50"/>
  <c r="E31" i="50"/>
  <c r="E45" i="50"/>
  <c r="E8" i="50"/>
  <c r="E42" i="50"/>
  <c r="E15" i="50"/>
  <c r="H38" i="73"/>
  <c r="E40" i="50"/>
  <c r="E18" i="50"/>
  <c r="E27" i="50"/>
  <c r="G40" i="63"/>
  <c r="H24" i="73"/>
  <c r="G24" i="63"/>
  <c r="I111" i="140"/>
  <c r="J111" i="140" s="1"/>
  <c r="C112" i="140"/>
  <c r="D111" i="140"/>
  <c r="I20" i="57"/>
  <c r="J20" i="57" s="1"/>
  <c r="D20" i="57"/>
  <c r="H35" i="73"/>
  <c r="I20" i="140"/>
  <c r="J20" i="140" s="1"/>
  <c r="D20" i="140"/>
  <c r="M13" i="146"/>
  <c r="M13" i="86"/>
  <c r="M13" i="70"/>
  <c r="B26" i="157"/>
  <c r="D26" i="157" s="1"/>
  <c r="E26" i="157" s="1"/>
  <c r="D25" i="157"/>
  <c r="D24" i="154"/>
  <c r="D27" i="154" s="1"/>
  <c r="E27" i="154" s="1"/>
  <c r="B27" i="154"/>
  <c r="D33" i="154"/>
  <c r="B35" i="154"/>
  <c r="D15" i="155"/>
  <c r="E15" i="155" s="1"/>
  <c r="B23" i="155"/>
  <c r="D23" i="155" s="1"/>
  <c r="E23" i="155" s="1"/>
  <c r="B8" i="157"/>
  <c r="B62" i="157" s="1"/>
  <c r="J34" i="162"/>
  <c r="B16" i="154"/>
  <c r="D16" i="154" s="1"/>
  <c r="E16" i="154" s="1"/>
  <c r="F62" i="152"/>
  <c r="G55" i="152"/>
  <c r="B47" i="155"/>
  <c r="G17" i="152"/>
  <c r="D55" i="155"/>
  <c r="B62" i="155"/>
  <c r="D32" i="155"/>
  <c r="E32" i="155" s="1"/>
  <c r="B34" i="155"/>
  <c r="D34" i="155" s="1"/>
  <c r="E34" i="155" s="1"/>
  <c r="H60" i="152"/>
  <c r="H62" i="152"/>
  <c r="H44" i="152"/>
  <c r="D77" i="152"/>
  <c r="F77" i="152" s="1"/>
  <c r="H59" i="152"/>
  <c r="H61" i="152"/>
  <c r="G9" i="152"/>
  <c r="D39" i="154"/>
  <c r="B40" i="154"/>
  <c r="D35" i="165" l="1"/>
  <c r="G39" i="165"/>
  <c r="F40" i="165"/>
  <c r="G40" i="165" s="1"/>
  <c r="G31" i="165"/>
  <c r="F35" i="165"/>
  <c r="G35" i="165" s="1"/>
  <c r="D14" i="165"/>
  <c r="B18" i="165"/>
  <c r="F14" i="165"/>
  <c r="G14" i="165" s="1"/>
  <c r="G27" i="165"/>
  <c r="C43" i="163"/>
  <c r="I45" i="162"/>
  <c r="J45" i="162" s="1"/>
  <c r="G43" i="162"/>
  <c r="L42" i="162" s="1"/>
  <c r="I37" i="162"/>
  <c r="J37" i="162" s="1"/>
  <c r="G36" i="162"/>
  <c r="I36" i="162" s="1"/>
  <c r="J36" i="162" s="1"/>
  <c r="I14" i="162"/>
  <c r="J14" i="162" s="1"/>
  <c r="H7" i="152"/>
  <c r="H12" i="152"/>
  <c r="F40" i="152"/>
  <c r="G40" i="152" s="1"/>
  <c r="H23" i="152"/>
  <c r="H27" i="152"/>
  <c r="H28" i="152"/>
  <c r="I112" i="151"/>
  <c r="J112" i="151" s="1"/>
  <c r="D115" i="140"/>
  <c r="D87" i="140"/>
  <c r="I87" i="151"/>
  <c r="J87" i="151" s="1"/>
  <c r="E96" i="107"/>
  <c r="E97" i="107" s="1"/>
  <c r="C116" i="140"/>
  <c r="I116" i="140" s="1"/>
  <c r="J116" i="140" s="1"/>
  <c r="C89" i="140"/>
  <c r="C99" i="140" s="1"/>
  <c r="C80" i="153"/>
  <c r="B7" i="165" s="1"/>
  <c r="G73" i="153"/>
  <c r="H73" i="153" s="1"/>
  <c r="C103" i="126"/>
  <c r="D97" i="126"/>
  <c r="D95" i="108"/>
  <c r="F17" i="163"/>
  <c r="G17" i="163" s="1"/>
  <c r="D17" i="163"/>
  <c r="F41" i="163"/>
  <c r="G41" i="163" s="1"/>
  <c r="C116" i="151"/>
  <c r="D116" i="151" s="1"/>
  <c r="D87" i="151"/>
  <c r="H18" i="152"/>
  <c r="G116" i="151"/>
  <c r="F118" i="151"/>
  <c r="F110" i="57"/>
  <c r="G104" i="57"/>
  <c r="I104" i="57"/>
  <c r="J104" i="57" s="1"/>
  <c r="F99" i="151"/>
  <c r="G89" i="151"/>
  <c r="G99" i="140"/>
  <c r="F105" i="140"/>
  <c r="G118" i="140"/>
  <c r="F122" i="140"/>
  <c r="F105" i="159"/>
  <c r="G99" i="159"/>
  <c r="I99" i="159"/>
  <c r="J99" i="159" s="1"/>
  <c r="G15" i="86"/>
  <c r="G15" i="146"/>
  <c r="G15" i="70"/>
  <c r="O24" i="146"/>
  <c r="O24" i="70"/>
  <c r="O24" i="86"/>
  <c r="O21" i="70"/>
  <c r="O21" i="146"/>
  <c r="Q21" i="146"/>
  <c r="Q21" i="86"/>
  <c r="Q21" i="70"/>
  <c r="O18" i="70"/>
  <c r="O18" i="146"/>
  <c r="I112" i="140"/>
  <c r="J112" i="140" s="1"/>
  <c r="D112" i="140"/>
  <c r="K10" i="70"/>
  <c r="K10" i="146"/>
  <c r="K10" i="86"/>
  <c r="D8" i="157"/>
  <c r="E33" i="154"/>
  <c r="D35" i="154"/>
  <c r="E35" i="154" s="1"/>
  <c r="E24" i="155"/>
  <c r="C99" i="151"/>
  <c r="D89" i="151"/>
  <c r="I89" i="151"/>
  <c r="J89" i="151" s="1"/>
  <c r="D14" i="154"/>
  <c r="E14" i="154" s="1"/>
  <c r="B18" i="154"/>
  <c r="D18" i="154" s="1"/>
  <c r="E18" i="154" s="1"/>
  <c r="J31" i="162"/>
  <c r="C7" i="162"/>
  <c r="H76" i="152"/>
  <c r="H77" i="152"/>
  <c r="E55" i="155"/>
  <c r="E62" i="155" s="1"/>
  <c r="E64" i="155" s="1"/>
  <c r="D62" i="155"/>
  <c r="G18" i="152"/>
  <c r="H8" i="152"/>
  <c r="H20" i="152"/>
  <c r="H31" i="152"/>
  <c r="H14" i="152"/>
  <c r="H15" i="152"/>
  <c r="H34" i="152"/>
  <c r="H29" i="152"/>
  <c r="H35" i="152"/>
  <c r="H6" i="152"/>
  <c r="H33" i="152"/>
  <c r="H32" i="152"/>
  <c r="H40" i="152"/>
  <c r="H37" i="152"/>
  <c r="H10" i="152"/>
  <c r="H39" i="152"/>
  <c r="H17" i="152"/>
  <c r="D47" i="155"/>
  <c r="D48" i="155" s="1"/>
  <c r="B48" i="155"/>
  <c r="B64" i="155" s="1"/>
  <c r="G77" i="152"/>
  <c r="G62" i="152"/>
  <c r="E36" i="155"/>
  <c r="D40" i="154"/>
  <c r="E40" i="154" s="1"/>
  <c r="E39" i="154"/>
  <c r="D7" i="165" l="1"/>
  <c r="D11" i="165" s="1"/>
  <c r="F7" i="165"/>
  <c r="B11" i="165"/>
  <c r="B19" i="165" s="1"/>
  <c r="B37" i="165" s="1"/>
  <c r="F18" i="165"/>
  <c r="D18" i="165"/>
  <c r="I43" i="162"/>
  <c r="J43" i="162" s="1"/>
  <c r="I89" i="140"/>
  <c r="J89" i="140" s="1"/>
  <c r="C118" i="151"/>
  <c r="I118" i="151" s="1"/>
  <c r="J118" i="151" s="1"/>
  <c r="D89" i="140"/>
  <c r="D116" i="140"/>
  <c r="F96" i="107"/>
  <c r="C118" i="140"/>
  <c r="C122" i="140" s="1"/>
  <c r="B6" i="155"/>
  <c r="D6" i="155" s="1"/>
  <c r="D80" i="153"/>
  <c r="G80" i="153"/>
  <c r="H80" i="153" s="1"/>
  <c r="B7" i="154"/>
  <c r="D7" i="154" s="1"/>
  <c r="C52" i="163"/>
  <c r="D43" i="163"/>
  <c r="F43" i="163"/>
  <c r="G43" i="163" s="1"/>
  <c r="I116" i="151"/>
  <c r="J116" i="151" s="1"/>
  <c r="F97" i="107"/>
  <c r="F127" i="140"/>
  <c r="G122" i="140"/>
  <c r="G99" i="151"/>
  <c r="F105" i="151"/>
  <c r="G118" i="151"/>
  <c r="F122" i="151"/>
  <c r="D62" i="157"/>
  <c r="E62" i="157" s="1"/>
  <c r="E8" i="157"/>
  <c r="D64" i="155"/>
  <c r="C105" i="151"/>
  <c r="D99" i="151"/>
  <c r="I99" i="151"/>
  <c r="J99" i="151" s="1"/>
  <c r="C105" i="140"/>
  <c r="I99" i="140"/>
  <c r="J99" i="140" s="1"/>
  <c r="D99" i="140"/>
  <c r="D19" i="165" l="1"/>
  <c r="D37" i="165" s="1"/>
  <c r="F11" i="165"/>
  <c r="G11" i="165" s="1"/>
  <c r="G7" i="165"/>
  <c r="G18" i="165"/>
  <c r="I7" i="162"/>
  <c r="J7" i="162" s="1"/>
  <c r="D118" i="151"/>
  <c r="D118" i="140"/>
  <c r="C122" i="151"/>
  <c r="D122" i="151" s="1"/>
  <c r="I118" i="140"/>
  <c r="J118" i="140" s="1"/>
  <c r="B12" i="155"/>
  <c r="B24" i="155" s="1"/>
  <c r="B36" i="155" s="1"/>
  <c r="B11" i="154"/>
  <c r="B19" i="154" s="1"/>
  <c r="B37" i="154" s="1"/>
  <c r="F52" i="163"/>
  <c r="G52" i="163" s="1"/>
  <c r="D52" i="163"/>
  <c r="G122" i="151"/>
  <c r="F127" i="151"/>
  <c r="D12" i="155"/>
  <c r="D24" i="155" s="1"/>
  <c r="D36" i="155" s="1"/>
  <c r="E6" i="155"/>
  <c r="E12" i="155" s="1"/>
  <c r="D11" i="154"/>
  <c r="E7" i="154"/>
  <c r="I122" i="140"/>
  <c r="J122" i="140" s="1"/>
  <c r="D122" i="140"/>
  <c r="C127" i="140"/>
  <c r="F19" i="165" l="1"/>
  <c r="G19" i="165" s="1"/>
  <c r="C127" i="151"/>
  <c r="I122" i="151"/>
  <c r="J122" i="151" s="1"/>
  <c r="D19" i="154"/>
  <c r="E11" i="154"/>
  <c r="F37" i="165" l="1"/>
  <c r="G37" i="165" s="1"/>
  <c r="D37" i="154"/>
  <c r="E37" i="154" s="1"/>
  <c r="E19" i="1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F45" authorId="0" shapeId="0" xr:uid="{00000000-0006-0000-1300-000001000000}">
      <text>
        <r>
          <rPr>
            <b/>
            <sz val="9"/>
            <color indexed="81"/>
            <rFont val="Tahoma"/>
            <family val="2"/>
          </rPr>
          <t>Usuario;
El porcentaje de participacion de los gastos de personal sobre los ingresos mejora en comparacion al año 2012, generando mas eficiencia en la operación.</t>
        </r>
      </text>
    </comment>
  </commentList>
</comments>
</file>

<file path=xl/sharedStrings.xml><?xml version="1.0" encoding="utf-8"?>
<sst xmlns="http://schemas.openxmlformats.org/spreadsheetml/2006/main" count="4040" uniqueCount="1549">
  <si>
    <t>CONTADOR</t>
  </si>
  <si>
    <t xml:space="preserve"> Matricula:</t>
  </si>
  <si>
    <t>Cedula</t>
  </si>
  <si>
    <t>4215</t>
  </si>
  <si>
    <t>DIVIDENDOS, PARTICIPACIONES Y EXCEDENTES</t>
  </si>
  <si>
    <t>4190</t>
  </si>
  <si>
    <t>ADMINISTRATIVOS Y SOCIALES</t>
  </si>
  <si>
    <t>4220</t>
  </si>
  <si>
    <t>4225</t>
  </si>
  <si>
    <t>4230</t>
  </si>
  <si>
    <t>4245</t>
  </si>
  <si>
    <t>UTILIDAD EN VENTA DE PROPIEDADES PLANTA Y EQUIPO</t>
  </si>
  <si>
    <t>4250</t>
  </si>
  <si>
    <t>4255</t>
  </si>
  <si>
    <t>INDEMNIZACIONES</t>
  </si>
  <si>
    <t>43</t>
  </si>
  <si>
    <t>INGRESOS DE EJERCICIOS ANTERIORES</t>
  </si>
  <si>
    <t>4305</t>
  </si>
  <si>
    <t>5315</t>
  </si>
  <si>
    <t>GASTOS EXTRAORDINARIOS</t>
  </si>
  <si>
    <t>54</t>
  </si>
  <si>
    <t>5405</t>
  </si>
  <si>
    <t>58</t>
  </si>
  <si>
    <t>IM PUESTO DE  RENTA Y COMPLEMENTARIOS</t>
  </si>
  <si>
    <t>5805</t>
  </si>
  <si>
    <t>59</t>
  </si>
  <si>
    <t>5905</t>
  </si>
  <si>
    <t>DISPONIBLE</t>
  </si>
  <si>
    <t>INVERSIONES</t>
  </si>
  <si>
    <t>FONDO DE LIQUIDEZ</t>
  </si>
  <si>
    <t>OTRAS CUENTAS POR COBRAR</t>
  </si>
  <si>
    <t xml:space="preserve"> </t>
  </si>
  <si>
    <t>PROPIEDAD PLANTA Y EQUIPO</t>
  </si>
  <si>
    <t>ELEMENTOS DIDACTICOS</t>
  </si>
  <si>
    <t>ACTIVOS INTANGIBLES</t>
  </si>
  <si>
    <t>RESPONSABILIDADES PENDIENTES</t>
  </si>
  <si>
    <t>C.D.A.T.</t>
  </si>
  <si>
    <t>INTERESES CDAT</t>
  </si>
  <si>
    <t>CUENTAS POR PAGAR</t>
  </si>
  <si>
    <t>PASIVOS ESTIMADOS Y PROVISIONES</t>
  </si>
  <si>
    <t>OTROS PASIVOS</t>
  </si>
  <si>
    <t>APORTES SOCIALES</t>
  </si>
  <si>
    <t>RESERVA PROTECCION DE APORTES</t>
  </si>
  <si>
    <t>RESERVAS ESTATUTARIAS</t>
  </si>
  <si>
    <t>FONDOS SOCIALES CAPITALIZADOS</t>
  </si>
  <si>
    <t>FONDO LIBRE DESTINACION</t>
  </si>
  <si>
    <t>VALORIZACIONES</t>
  </si>
  <si>
    <t>TOTAL PATRIMONIO</t>
  </si>
  <si>
    <t>TOTAL PASIVO Y PATRIMONIO</t>
  </si>
  <si>
    <t>GERENTE</t>
  </si>
  <si>
    <t>INGRESOS OPERACIONALES</t>
  </si>
  <si>
    <t>INTERESES CREDITOS DE CONSUMO</t>
  </si>
  <si>
    <t>TOTAL INGRESOS</t>
  </si>
  <si>
    <t>COSTOS OPERACIONALES</t>
  </si>
  <si>
    <t>INTERESES AHORRO PERMANENTE</t>
  </si>
  <si>
    <t>INTERESES BANCARIOS</t>
  </si>
  <si>
    <t>IMPUESTOS ASUMIDOS</t>
  </si>
  <si>
    <t>TOTAL COSTOS</t>
  </si>
  <si>
    <t>EXCEDENTES BRUTOS</t>
  </si>
  <si>
    <t>GASTOS OPERATIVOS</t>
  </si>
  <si>
    <t>SUELDOS</t>
  </si>
  <si>
    <t>AUXILIO DE TRANSPORTE</t>
  </si>
  <si>
    <t>CESANTIAS</t>
  </si>
  <si>
    <t>INTERESES DE CESANTIAS</t>
  </si>
  <si>
    <t>PRIMA DE SERVICIO</t>
  </si>
  <si>
    <t>VACACIONES</t>
  </si>
  <si>
    <t>AUXILIO AL PERSONAL</t>
  </si>
  <si>
    <t>BONIFICACIONES</t>
  </si>
  <si>
    <t>DOTACION Y SUMINISTRO</t>
  </si>
  <si>
    <t>CAPACITACION AL PERSONAL</t>
  </si>
  <si>
    <t>APORTES SALUD Y PENSION</t>
  </si>
  <si>
    <t>GASTOS MEDICOS Y DROGAS</t>
  </si>
  <si>
    <t>HONORARIOS</t>
  </si>
  <si>
    <t>IMPUESTOS</t>
  </si>
  <si>
    <t>ARRIENDOS</t>
  </si>
  <si>
    <t>ADMINISTRACION DE EDIFICIOS</t>
  </si>
  <si>
    <t>SEGUROS</t>
  </si>
  <si>
    <t>MANTENIMIENTO Y REPARACION</t>
  </si>
  <si>
    <t>ASEO Y ELEMENTOS CAFETERIA</t>
  </si>
  <si>
    <t>ENERGIA ELECTRICA</t>
  </si>
  <si>
    <t>TELEFONO</t>
  </si>
  <si>
    <t>PORTES, CABLES Y FAX</t>
  </si>
  <si>
    <t>TRANSPORTE</t>
  </si>
  <si>
    <t>PAPELERIA Y UTILES OFICINA</t>
  </si>
  <si>
    <t>PUBLICIDAD Y PROPAGANDA</t>
  </si>
  <si>
    <t>CONTRIBUCIONES Y AFILIACIONES</t>
  </si>
  <si>
    <t>GASTOS DE ASAMBLEA</t>
  </si>
  <si>
    <t>GASTOS DE DIRECTIVOS</t>
  </si>
  <si>
    <t>GASTOS LEGALES</t>
  </si>
  <si>
    <t>CAPACITACION DIRECTIVOS</t>
  </si>
  <si>
    <t>SERVICIOS TEMPORALES</t>
  </si>
  <si>
    <t>SISTEMATIZACION</t>
  </si>
  <si>
    <t>CUOTAS SOSTENIMIENTO</t>
  </si>
  <si>
    <t>SUSCRIPCIONES</t>
  </si>
  <si>
    <t>AUXILIO Y DONACIONES</t>
  </si>
  <si>
    <t>GASTOS VARIOS</t>
  </si>
  <si>
    <t>ASESORIA ORGANIZACON ARCHIVO</t>
  </si>
  <si>
    <t>DEPRECIACIONES</t>
  </si>
  <si>
    <t>PROVISION CARTERA</t>
  </si>
  <si>
    <t>GASTOS BANCARIOS</t>
  </si>
  <si>
    <t>TOTAL GASTOS DE OPERACION</t>
  </si>
  <si>
    <t>EXCEDENTES OPERACIONALES</t>
  </si>
  <si>
    <t>INGRESO NO OPERACIONALES</t>
  </si>
  <si>
    <t>FINACIEROS</t>
  </si>
  <si>
    <t>DESCUENTOS Y RECUPERACIONES</t>
  </si>
  <si>
    <t>TOTAL INGRESOS NO OPERACIONALES</t>
  </si>
  <si>
    <t>GASTOS NO OPERACIONALES</t>
  </si>
  <si>
    <t>TOTAL GASTOS NO OPERACIONALES</t>
  </si>
  <si>
    <t>EXCEDENTES ANTES DE IMPUESTOS</t>
  </si>
  <si>
    <t>EXCEDENTES NETOS</t>
  </si>
  <si>
    <t>%</t>
  </si>
  <si>
    <t>FINANCIEROS</t>
  </si>
  <si>
    <t>REVISOR FISCAL</t>
  </si>
  <si>
    <t>COMISIONES</t>
  </si>
  <si>
    <t>INGRESOS</t>
  </si>
  <si>
    <t>DIVERSOS</t>
  </si>
  <si>
    <t>FONRECAR</t>
  </si>
  <si>
    <t>GASTOS ANTICIPADOS</t>
  </si>
  <si>
    <t>DIFERIDOS</t>
  </si>
  <si>
    <t>OTROS ACTIVOS</t>
  </si>
  <si>
    <t>GASTOS DIVERSOS AGUNALDOS</t>
  </si>
  <si>
    <t>GASTOS EJERCICIO ANTERIOR</t>
  </si>
  <si>
    <t>APORTES PARAFISCALES</t>
  </si>
  <si>
    <t>GASTO DE FONDO BIENESTAR SOCIAL</t>
  </si>
  <si>
    <t>RECUPERACIONES</t>
  </si>
  <si>
    <t>ASESORIA IMAGINEN CORPORATION</t>
  </si>
  <si>
    <t>PROVISION CREDITOS DE CONSUMO</t>
  </si>
  <si>
    <t>PROVISION GENERAL</t>
  </si>
  <si>
    <t>Rojo         </t>
  </si>
  <si>
    <t>Amarillo    </t>
  </si>
  <si>
    <t>Verde         </t>
  </si>
  <si>
    <t>INDICADOR</t>
  </si>
  <si>
    <t>RIESGO DE LIQUIDEZ</t>
  </si>
  <si>
    <t>&gt;= 0;&lt; 2 %</t>
  </si>
  <si>
    <t>&gt;= 2;&lt; 3 %</t>
  </si>
  <si>
    <t>NIVEL DE DISPONIBLE</t>
  </si>
  <si>
    <t>RIESGO CREDITICIO</t>
  </si>
  <si>
    <t>CARTTERA VENCIDA</t>
  </si>
  <si>
    <t>&gt;= 0;&lt;= 3 %</t>
  </si>
  <si>
    <t>PROVISION INDIVIDUAL</t>
  </si>
  <si>
    <t>&lt; 20 %</t>
  </si>
  <si>
    <t>&gt; 30 %</t>
  </si>
  <si>
    <t>RIESGO FINANCIERO</t>
  </si>
  <si>
    <t>DETRIMENTO PATRIMONIAL</t>
  </si>
  <si>
    <t>RENTABILIDAD DEL PATRIMONIO</t>
  </si>
  <si>
    <t>RENTABILIDAD DEL CAPITAL</t>
  </si>
  <si>
    <t>RENTABILIDAD DE ACTIVOS</t>
  </si>
  <si>
    <t>RENTABILIDAD DE CARTERA</t>
  </si>
  <si>
    <t>RENTABILIDAD DE AHORROS</t>
  </si>
  <si>
    <t>ACTIVO PRODUCTIVO</t>
  </si>
  <si>
    <t>RIESGO OPERACIONAL</t>
  </si>
  <si>
    <t>EFICIENCIA OPERACIONAL</t>
  </si>
  <si>
    <t>MARGEN OPERACIONAL</t>
  </si>
  <si>
    <t>MARGEN OPERACIÓN DE CREDITO</t>
  </si>
  <si>
    <t>RIESGO ESTRUCTURA</t>
  </si>
  <si>
    <t>CARTERA / ACTIVOS</t>
  </si>
  <si>
    <t>&gt;= PH*1,1</t>
  </si>
  <si>
    <t>DEPOSITOS / ACTIVO TOTAL</t>
  </si>
  <si>
    <t>&gt; 20%;&lt;= 100 %</t>
  </si>
  <si>
    <t>&gt; 10%;&lt;= 20 %</t>
  </si>
  <si>
    <t>APORTES SOCIAL / ACTIVO TOTAL</t>
  </si>
  <si>
    <t>&gt; 24%;&lt;= 100 %</t>
  </si>
  <si>
    <t>CAPITAL INSTITUCIONAL / ACTIVO T.</t>
  </si>
  <si>
    <t>&gt;= 0;&lt; 5 %</t>
  </si>
  <si>
    <t>&gt;= 5;&lt; 10 %</t>
  </si>
  <si>
    <t>&gt;= 10;&lt;= 100 %</t>
  </si>
  <si>
    <t>COBERTURA DE INVER. DE AHO.</t>
  </si>
  <si>
    <t>ENDEUD. SIN AHORRO PERM.</t>
  </si>
  <si>
    <t>CREDITO EXTERNO / ACTIVO TOT.</t>
  </si>
  <si>
    <t>SUCURSAL:CARTAGENA</t>
  </si>
  <si>
    <t>CAJA</t>
  </si>
  <si>
    <t>CARTERA DE CREDITOS</t>
  </si>
  <si>
    <t>CUENTAS POR COBRAR</t>
  </si>
  <si>
    <t>PROVEEDORES</t>
  </si>
  <si>
    <t>CREDITOS A EMPLEADOS</t>
  </si>
  <si>
    <t>INTERESES</t>
  </si>
  <si>
    <t>OTRAS INVERSIONES</t>
  </si>
  <si>
    <t>DEPOSITOS</t>
  </si>
  <si>
    <t>COSTOS Y GASTOS POR PAGAR</t>
  </si>
  <si>
    <t>RETENCION EN LA FUENTE</t>
  </si>
  <si>
    <t>RETENCIONES Y APORTES DE NOMINA</t>
  </si>
  <si>
    <t>REMANENTES POR PAGAR</t>
  </si>
  <si>
    <t>FONDO SOCIAL PARA OTROS FINES</t>
  </si>
  <si>
    <t>OBLIGACIONES LABORALES</t>
  </si>
  <si>
    <t>PROVISIONES DIVERSAS</t>
  </si>
  <si>
    <t>PATRIMONIO</t>
  </si>
  <si>
    <t>EXCEDENTES Y/O PRDIDAS</t>
  </si>
  <si>
    <t>41</t>
  </si>
  <si>
    <t>OPERACIONALES</t>
  </si>
  <si>
    <t>4185</t>
  </si>
  <si>
    <t>SERVICIO DE CREDITO</t>
  </si>
  <si>
    <t>42</t>
  </si>
  <si>
    <t>NO OPERACIONALES</t>
  </si>
  <si>
    <t>4210</t>
  </si>
  <si>
    <t>4295</t>
  </si>
  <si>
    <t>51</t>
  </si>
  <si>
    <t>GASTOS DE ADMINISTRACION</t>
  </si>
  <si>
    <t>5105</t>
  </si>
  <si>
    <t>GASTOS DE PERSONAL</t>
  </si>
  <si>
    <t>5110</t>
  </si>
  <si>
    <t>GASTOS  GENERALES</t>
  </si>
  <si>
    <t>5115</t>
  </si>
  <si>
    <t>PROVISIONES</t>
  </si>
  <si>
    <t>5125</t>
  </si>
  <si>
    <t>53</t>
  </si>
  <si>
    <t>5305</t>
  </si>
  <si>
    <t>GASTOS FINANCIEROS</t>
  </si>
  <si>
    <t>61</t>
  </si>
  <si>
    <t>COSTO DE VENTAS Y DE PRESTACION DE SERVICIOS</t>
  </si>
  <si>
    <t>6150</t>
  </si>
  <si>
    <t>ACTIVIDAD FINANCIERA</t>
  </si>
  <si>
    <t>6175</t>
  </si>
  <si>
    <t>SERVICIO  DE CREDITO</t>
  </si>
  <si>
    <t xml:space="preserve"> 4294967295  of  1</t>
  </si>
  <si>
    <t>GASTO RECONTRUCCION INFORMACION</t>
  </si>
  <si>
    <t>PAPELERIA  UTILES OFICINA Y FOTOCOPIAS</t>
  </si>
  <si>
    <t>FONDO DE EMPLEADOS DEL SECTOR INDUSTRIAL FONRECAR</t>
  </si>
  <si>
    <t>Proyectado</t>
  </si>
  <si>
    <t>Ingresos Operacionales</t>
  </si>
  <si>
    <t xml:space="preserve"> % Cump.</t>
  </si>
  <si>
    <t xml:space="preserve">INTERESES </t>
  </si>
  <si>
    <t>Total Servicios de Credito</t>
  </si>
  <si>
    <t>Costos Operacionales</t>
  </si>
  <si>
    <t xml:space="preserve">Total Costos </t>
  </si>
  <si>
    <t>Gastos de Personal</t>
  </si>
  <si>
    <t>APORTES EN SALUD</t>
  </si>
  <si>
    <t>APORTES EN PENSION</t>
  </si>
  <si>
    <t>APORTES ARP</t>
  </si>
  <si>
    <t>Total Gastos de Personal</t>
  </si>
  <si>
    <t>Gastos de Funcionamiento</t>
  </si>
  <si>
    <t>HONORARIOS ASESORIAS LEGALES</t>
  </si>
  <si>
    <t>HONORARIOS REVISOR FISCAL</t>
  </si>
  <si>
    <t>ASEO Y ELEMENTOS DE CONSUMO</t>
  </si>
  <si>
    <t>CAFETERIA</t>
  </si>
  <si>
    <t>TELEFONO e INTERNET</t>
  </si>
  <si>
    <t>CAPACITACIONES DIRECTIVOS</t>
  </si>
  <si>
    <t>PROVISION CREDITO DE CONSUMO</t>
  </si>
  <si>
    <t>DEPRECIACION MUEBLES Y EQUIPOS DE OF</t>
  </si>
  <si>
    <t>DEPRECIACION EQUIPOS DE COMPUTOS</t>
  </si>
  <si>
    <t>AMORTIZACIONES DE INTANGIBLES</t>
  </si>
  <si>
    <t>GASTOS BANCARIOS CHEQUERAS</t>
  </si>
  <si>
    <t>COMISIONES BANCARIAS</t>
  </si>
  <si>
    <t>C.I.F.I.N</t>
  </si>
  <si>
    <t>CUATRO POR MIL</t>
  </si>
  <si>
    <t>DETALLE FIN DE AÑO</t>
  </si>
  <si>
    <t>DESARROLLO ACTIVIDAD SOCIAL</t>
  </si>
  <si>
    <t>Total Gastos de Funcionamiento</t>
  </si>
  <si>
    <t>Total Costos y Gastos</t>
  </si>
  <si>
    <t xml:space="preserve">Ingresos No Operacionales </t>
  </si>
  <si>
    <t>FINANCIEROS (Ctas de Ahorro y Fiducia)</t>
  </si>
  <si>
    <t>DESCUENTOS COMERCIALES</t>
  </si>
  <si>
    <t>Total Ingresos  No Operacionales</t>
  </si>
  <si>
    <t>ARRENDAMIENTOS</t>
  </si>
  <si>
    <t>GASTOS DIVERSOS</t>
  </si>
  <si>
    <t>5140</t>
  </si>
  <si>
    <t>5395</t>
  </si>
  <si>
    <t>GASTOS EJERCICIOS ANTERIORES</t>
  </si>
  <si>
    <t>MONICA MARRUGO SAN JUAN</t>
  </si>
  <si>
    <t>LEONEL HARRIS CORTES</t>
  </si>
  <si>
    <t>BANCOS Y AHORROS</t>
  </si>
  <si>
    <t>FONDOS ESPECIFICOS FIDUCIA</t>
  </si>
  <si>
    <t>CDTS ANALFE</t>
  </si>
  <si>
    <t>CREDITOS DE CONSUMO</t>
  </si>
  <si>
    <t>DEUDORES PATRONALES</t>
  </si>
  <si>
    <t xml:space="preserve">EDIFICACIONES </t>
  </si>
  <si>
    <t>MUEBLES Y EQUIPOS DE OFICINA</t>
  </si>
  <si>
    <t>DEPRECIACION ACUMULADA</t>
  </si>
  <si>
    <t>TOTAL ACTIVO</t>
  </si>
  <si>
    <t>DEPOSITO DE  AHORRO CONTRACTUAL</t>
  </si>
  <si>
    <t>DEPOSITO DE AHORRO PERMANENTE</t>
  </si>
  <si>
    <t>CREDITOS BANCARIOS</t>
  </si>
  <si>
    <t>OTRAS CUENTAS POR PAGAR</t>
  </si>
  <si>
    <t>FONDOS SOCIALES Y  OTROS</t>
  </si>
  <si>
    <t>FONDO SOCIAL DE SOLIDARIDAD</t>
  </si>
  <si>
    <t>FONDO DE BIENESTAR SOCIAL</t>
  </si>
  <si>
    <t>TOTAL PASIVO</t>
  </si>
  <si>
    <t>RESULTADO DEL PRESENTE EJERCICIO</t>
  </si>
  <si>
    <t>RESULTADO DEL EJERCICIO ANTERIOR</t>
  </si>
  <si>
    <t>LILIANA MARGARITA GARAY CAPARROZO</t>
  </si>
  <si>
    <t>REVISOR FISCAL TP. No.32911 - T</t>
  </si>
  <si>
    <t>Reserva en efectivo que respalda los depositos de los asociados, fonrecar presenta una reserva aceptable según los parametros establecidos por de Supersolidaria.</t>
  </si>
  <si>
    <t xml:space="preserve">Reserva contable que cubre una probable perdida por la cartera vencida y se reclaciona directamente con la recuperacion de cartera vencida, Fonrecar esta dentro de los parametros establecidos por la norma tecnica de la Supersolidaria </t>
  </si>
  <si>
    <t xml:space="preserve">Reserva contable que cubre una probable perdida de la Cartera en General, fonrecar se encuentra en un nivel aceptable </t>
  </si>
  <si>
    <t>El 100% de los depositos de los asociados esta invertido en Cartera, Fonrecar se encuentra en un buen nivel.</t>
  </si>
  <si>
    <t xml:space="preserve">La rentabilidad generada con base en el patrimonio se encuentra por encima del promedio de los ultimos años y por encima del promedio del sector indicandonos que Fonrecar en este aspecto se encuentra en un buen nivel </t>
  </si>
  <si>
    <t>La rentabilidad generada con base en el capital social se encuentra por encima del promedio de los ultimos años y por encima del promedio del sector indicandonos que Fonrecar en este aspecto se encuentra en un buen nivel</t>
  </si>
  <si>
    <t>Fonrecar posee capital institucional el cual respaldaria un eventual crisis por perdida asumidas, Fonrecar esta un poco por debajo del promedio del sector, pero a pesar de esto se mantenie en un buen nivel.</t>
  </si>
  <si>
    <t>La mayor parte de los activos se encuentra ubicado en activos productivos cumpliendo asi la logica del negocio financiero. Este indicador se encuentra en un buen nivel estando por encima del promedio de los años anteriores y muy cerca del promedio del sector</t>
  </si>
  <si>
    <t>El nivel de Ingresos que Fonrecar este generando es aceptable de acuerdo a las vaiables externas que enfrenta como la dura competencia, la compra de cartera etc, el cual le alcanza para cubrir su estructura de costos y gastos y generar excedentes.</t>
  </si>
  <si>
    <t>Fonrecar esta financiando su operatividad no solo con depositos si no con obligaciones financieras con el fin de ser competitivos y mantener la continuidad en el mercado. Este indicador se encuentra en un buen nivel</t>
  </si>
  <si>
    <t>Los Depositos estan financiando las inverisiones de Fonrecar en una buena proporcion, en otras palabras se esta trabajando con los recursos de nuestros asociados y cada vez en mayor proporcion, mejorando continuamente este indicador</t>
  </si>
  <si>
    <t>Fonrecar esta financiando su operatividad no solo con depositos si no con obligaciones financieras con el fin de ser competitivos y mantener la continuidad en el mercado. Este indicador se encuentra en un nivel aceptable</t>
  </si>
  <si>
    <t>Los Aportes Sociales estan financiando las inverisiones de Fonrecar en un proporcion aceptable, mejorando año tras año este indicador dandole mas relevancia a el apalancamiento de las inveriones de Fonrecar con base a los depositos de los asociados</t>
  </si>
  <si>
    <t>Inversiones en Fondo de liquidez / total Depositos</t>
  </si>
  <si>
    <t>FORMULA</t>
  </si>
  <si>
    <t>Disponible + Inveriones / Total Activo</t>
  </si>
  <si>
    <t>Total Cartera Vencida / Cartera Bruta</t>
  </si>
  <si>
    <t>Total Provision Individual / Total de Cartera Vencida</t>
  </si>
  <si>
    <t>Total Provision General de Cartera / Total Cartera Bruta</t>
  </si>
  <si>
    <t>Cartera bruta / Depositos</t>
  </si>
  <si>
    <t>Patrimonio / Capital Social</t>
  </si>
  <si>
    <t>Excedente / Promedio del patrimonio de los dos ultimos periodos</t>
  </si>
  <si>
    <t>Excedente / Promedio del capital social de los dos ultimos periodos</t>
  </si>
  <si>
    <t>Excedente / Promedio de los activos de los dos ultimos periodos</t>
  </si>
  <si>
    <t>Ingresos de Cartera / Cartera</t>
  </si>
  <si>
    <t>(total activos - disponible - diferido - otros activos) / total Activos</t>
  </si>
  <si>
    <t>Gastos de Admon/ Ingresos operacionales</t>
  </si>
  <si>
    <t>Excedente operacional / Ingresos operacionales</t>
  </si>
  <si>
    <t>(ingresos por credito - costo operación de credito) / Ingresos por servicio de credito</t>
  </si>
  <si>
    <t>Cartera / total activos</t>
  </si>
  <si>
    <t>total pasico - (fondos sociales + Depositos ) / total activo</t>
  </si>
  <si>
    <t>Depositos / total activo</t>
  </si>
  <si>
    <t>Credito externo / activo total</t>
  </si>
  <si>
    <t>aporte social / Activo total</t>
  </si>
  <si>
    <t>(total patrimonio - Capital social) / activo total</t>
  </si>
  <si>
    <t>Fonrecar se encuentra en buen nivel por que le mayor porcentaje de sus activos esta invertido en Cartera</t>
  </si>
  <si>
    <t>COMENTARIOS</t>
  </si>
  <si>
    <t xml:space="preserve">COMPAÑIA : FONRECAR </t>
  </si>
  <si>
    <t>Nit : 890400186</t>
  </si>
  <si>
    <t>ESTADO DE GANANCIAS Y PERDIDAS POR AGENCIA</t>
  </si>
  <si>
    <t>julio 1 del 2010 A julio 31 del 2010</t>
  </si>
  <si>
    <t>TOTAL INGRESOS :</t>
  </si>
  <si>
    <t>EGRESOS</t>
  </si>
  <si>
    <t>TOTAL COSTOS Y GASTOS:</t>
  </si>
  <si>
    <t>TOTAL UTILIDAD NETA:</t>
  </si>
  <si>
    <t>MARRUGO SANJUAN MONICA P.</t>
  </si>
  <si>
    <t>GARAY CAPARROSO LILIANA MARGARITA</t>
  </si>
  <si>
    <t>REPRESENTANTE LEGAL</t>
  </si>
  <si>
    <t>147475-T</t>
  </si>
  <si>
    <t>32911-T</t>
  </si>
  <si>
    <t>&gt;= 3;&lt;= 100 %</t>
  </si>
  <si>
    <t>&lt; =5 %</t>
  </si>
  <si>
    <t>&gt; 5;&lt;= 10 %</t>
  </si>
  <si>
    <t>&gt; 5;&lt;= 100 %</t>
  </si>
  <si>
    <t>&gt; 3;&lt;= 5 %</t>
  </si>
  <si>
    <t>&gt;= 20;&lt;= 30 %</t>
  </si>
  <si>
    <t>&lt; 0,50 %</t>
  </si>
  <si>
    <t>&gt;= 0,50;&lt;= 0,75 %</t>
  </si>
  <si>
    <t>&gt;0,75 %</t>
  </si>
  <si>
    <t xml:space="preserve">&lt; 1 </t>
  </si>
  <si>
    <t xml:space="preserve">&gt;= 1;&lt; 1,2 </t>
  </si>
  <si>
    <t xml:space="preserve">&gt;= 1,2 </t>
  </si>
  <si>
    <t>&lt; IPC*0,8</t>
  </si>
  <si>
    <t>&gt;= (IPC*0,8);&lt; IPC</t>
  </si>
  <si>
    <t>&gt;= IPC</t>
  </si>
  <si>
    <t>&gt;= 0;&lt; P H*0,90</t>
  </si>
  <si>
    <t xml:space="preserve">&gt;=PH*0.9;&lt;= PH*1,1 </t>
  </si>
  <si>
    <t>&gt; PH*1,1;&lt;= 100 %</t>
  </si>
  <si>
    <t>&gt; DTF*1,5 %</t>
  </si>
  <si>
    <t>&lt;= DTF*1,5 ; &gt;=DTF</t>
  </si>
  <si>
    <t>&lt; DTF %</t>
  </si>
  <si>
    <t>&gt;= 0;&lt; 70 %</t>
  </si>
  <si>
    <t>&gt;= 70;&lt; 80 %</t>
  </si>
  <si>
    <t>&gt;= 80;&lt;= 100 %</t>
  </si>
  <si>
    <t>&lt;= PH*1,1 ; &gt;=PH*0.9</t>
  </si>
  <si>
    <t>&gt;= 0;&lt; P H*0,90%</t>
  </si>
  <si>
    <t>&gt;= 0;&lt; 10 %</t>
  </si>
  <si>
    <t>&gt;= 10;&lt; 20 %</t>
  </si>
  <si>
    <t>&gt;= 20;&lt;= 100 %</t>
  </si>
  <si>
    <t>0 ;&lt; PH*,9</t>
  </si>
  <si>
    <t>&gt;= PH*,9%; &lt; PH*1,1</t>
  </si>
  <si>
    <t>&gt; 50;&lt;= 100 %</t>
  </si>
  <si>
    <t>&gt; 30;&lt;= 50 %</t>
  </si>
  <si>
    <t>&gt;= 0;&lt;= 30 %</t>
  </si>
  <si>
    <t>&gt;= 0;&lt; 45 %</t>
  </si>
  <si>
    <t>&gt;= 45%;&lt; 55 %</t>
  </si>
  <si>
    <t>&gt;= 55;&lt;= 100 %</t>
  </si>
  <si>
    <t>&gt;= 0;&lt;= 10 %</t>
  </si>
  <si>
    <t>&lt;= 24 %  ; &gt; 20%</t>
  </si>
  <si>
    <t>&gt;= 0;&lt;= 20 %</t>
  </si>
  <si>
    <t>ACTIVO</t>
  </si>
  <si>
    <t xml:space="preserve">Nivel de Efectivo que se debe tener para cubrir compromisos y obligaciones, Fonrecar se encuentra un nivel aceptable. </t>
  </si>
  <si>
    <t xml:space="preserve">Cartera que no ha sido pagada por los asociados, Fonrecar ha mejorado significativamente el  comportamiento de este indicador cumpliendo las metas establecidas, se recomienda continuar con la gestion </t>
  </si>
  <si>
    <t xml:space="preserve">Este indicador se encuentra por debajo del promedio de los ultimos años y a la vez se encuentra muy cerca de el promedio del sector, sin embargo se debe tener en cuenta que Fonrecar gracias a la continua generacion de ingresos ha logrado sostener la estructura de costos, ha permitido realizar inversiones en el recurso humano, en sus directivos y en sus asociados, permitiendo el constante desarrollo de la entidad. Todo esto esta siendo adsorvido por este indicador cumpliendo de esta forma los objetivos trazados y sin alejarnos mucho del promedio del sector.  </t>
  </si>
  <si>
    <t>Este indicador traduce la rentabilidad generada en promedio por la cartera invertida en los asociados, Fonrecar se encuentra en un buen nivel.</t>
  </si>
  <si>
    <t>Costos Servicio de Credito / Depositos</t>
  </si>
  <si>
    <t>Este indicador incluye todos los costos generados para poder realizar la inversiones de cartera, Fonrecar se encuentra en un nivel aceptable muy cerca del promedio del sector.</t>
  </si>
  <si>
    <t>Este indicador nos muestra la eficiencia que ha tenido Fonrecar para controlar sus gastos administrativos, se encuentra en un buen nivel por debajo del promedio del sector.</t>
  </si>
  <si>
    <t>ESTADO DE RESULTADO COMPARATIVOS AÑOS 2006-2007-2008-2009 Y MES DE noviembreL 2010</t>
  </si>
  <si>
    <t>ESTUDIO RECURSOS HUMANOS</t>
  </si>
  <si>
    <t>Tasa de Usura</t>
  </si>
  <si>
    <t>&lt;=T.U.*0,8</t>
  </si>
  <si>
    <t>&gt; T.U.</t>
  </si>
  <si>
    <t>´=T.U. *0,8;&gt; T. U.</t>
  </si>
  <si>
    <t>CREDITO EXTERNO / ACTIVO T.</t>
  </si>
  <si>
    <t>APORTES SOCIAL / ACTIVO T.</t>
  </si>
  <si>
    <t>PROMEDIO FONDOS</t>
  </si>
  <si>
    <t>INTERES CREDITOS DE CONSUMO</t>
  </si>
  <si>
    <t>INTERESES Y COSTOS CDAT-ASUMIDOS</t>
  </si>
  <si>
    <t>INTERESES CREDITOS BANCARIOS</t>
  </si>
  <si>
    <t>DEPRECIACION EDIFICACIONES</t>
  </si>
  <si>
    <t>EQUIPO DE COMPUTO Y COM.</t>
  </si>
  <si>
    <t>V.A.</t>
  </si>
  <si>
    <t>V.R.</t>
  </si>
  <si>
    <t>Part.</t>
  </si>
  <si>
    <t>PASIVOS</t>
  </si>
  <si>
    <t>ANTICIPO CONTRATO Y PROVEED.</t>
  </si>
  <si>
    <t>Excedentes Brutos</t>
  </si>
  <si>
    <t>Excedentes Operacionales</t>
  </si>
  <si>
    <t>Excedentes Netos</t>
  </si>
  <si>
    <t>PART</t>
  </si>
  <si>
    <t>Total Ingresos</t>
  </si>
  <si>
    <t>Total Costos</t>
  </si>
  <si>
    <t>Total Gasto de Personal</t>
  </si>
  <si>
    <t>Ingresos No Operacionales</t>
  </si>
  <si>
    <t>Total Ingreso No Operacional</t>
  </si>
  <si>
    <t>INDICADORES FINANCIEROS 2011</t>
  </si>
  <si>
    <t xml:space="preserve">Nivel de Efectivo que se debe tener para cubrir compromisos y obligaciones, Fonrecar se encuentra en un nivel aceptable. </t>
  </si>
  <si>
    <t xml:space="preserve">Es la probabilidad de que una organización  incurra en perdidas y se disminuya el valor de sus activos como consecuencia de que sus deudores incumplan con el pago de sus obligaciones.
</t>
  </si>
  <si>
    <t>UMBRALES</t>
  </si>
  <si>
    <t>INTERPRETACION</t>
  </si>
  <si>
    <t xml:space="preserve">Sirven para medir la efectividad de los administradores de la empresa para controlar los costos y gastos.
</t>
  </si>
  <si>
    <t>DTF</t>
  </si>
  <si>
    <t xml:space="preserve">La rentabilidad generada con base en el patrimonio se encuentra igual al promedio de los ultimos años y muy cerca del promedio del sector indicandonos que Fonrecar en este aspecto se encuentra en un buen nivel </t>
  </si>
  <si>
    <t>La rentabilidad generada con base en el capital social se encuentra igual al promedio de los ultimos años y muy cerca del promedio del sector indicandonos que Fonrecar en este aspecto se encuentra en un buen nivel</t>
  </si>
  <si>
    <t xml:space="preserve">Este indicador presenta un estado de alerta por las contabilizaciones de partidas como bonificaciones al personal e impuestos predial, pero a medida que trancurran los periodos este indicador buscara el nivel apropiado debido a el repunte de los ingresos y la estabilizacion de costos y gastos. </t>
  </si>
  <si>
    <t>Este indicador incluye todos los costos generados para poder realizar la inversiones de cartera, Fonrecar a pesar de estar en estado alerta, se encuentra muy cerca del promedio del sector.</t>
  </si>
  <si>
    <t>El nivel de Ingresos que Fonrecar este generando es aceptable de acuerdo a las vaiables externas que enfrenta como la dura competencia, la compra de cartera etc, el cual le alcanza para cubrir su estructura de costos y gastos y generar excedentes, ademas esta acorde con el promedio del sector.</t>
  </si>
  <si>
    <t xml:space="preserve">Lo ideal es que la organización solidaria se apalanque preferentemente con su capital institucional y con  sus asociados, haciéndose la salvedad que una corrida  de asociados puede generar problemas de liquidez y hasta una disminución patrimonial.
</t>
  </si>
  <si>
    <t>INDICADORES DE RENTABILIDAD</t>
  </si>
  <si>
    <t>INDICADORES DE ESTRUCTURA FINANCIERA</t>
  </si>
  <si>
    <t>CAPITAL INSTITUCIONAL / A. T.</t>
  </si>
  <si>
    <t>Fonrecar se encuentra en buen nivel por que le mayor porcentaje de sus activos esta invertido en Cartera y se encuentra por encima del promedio del sector</t>
  </si>
  <si>
    <t>Fonrecar esta financiando su operatividad con una mayor participacion de Depositos de Asociados cumpliendo con las directrices establecidas por el ente supervisor . Fonrecar se encuentra en un buen nivel</t>
  </si>
  <si>
    <t>Fonrecar posee capital institucional el cual respaldaria un eventual crisis por perdida asumidas, Fonrecar esta muy cerca del promedio del sector se encuentra en un nivel aceptable.</t>
  </si>
  <si>
    <t>Partitas Presupuestales</t>
  </si>
  <si>
    <t>Variacion Absoluta</t>
  </si>
  <si>
    <t>Total Gastos Generales</t>
  </si>
  <si>
    <t>Total Excedentes Operacionales</t>
  </si>
  <si>
    <t>Max</t>
  </si>
  <si>
    <t>min</t>
  </si>
  <si>
    <t>Limites</t>
  </si>
  <si>
    <t>Parametros</t>
  </si>
  <si>
    <r>
      <t xml:space="preserve">Es la </t>
    </r>
    <r>
      <rPr>
        <b/>
        <sz val="8"/>
        <color indexed="60"/>
        <rFont val="Microsoft Tai Le"/>
        <family val="2"/>
      </rPr>
      <t xml:space="preserve">probabilidad </t>
    </r>
    <r>
      <rPr>
        <b/>
        <sz val="8"/>
        <color indexed="8"/>
        <rFont val="Microsoft Tai Le"/>
        <family val="2"/>
      </rPr>
      <t xml:space="preserve">de que una organización incurra en </t>
    </r>
    <r>
      <rPr>
        <b/>
        <sz val="8"/>
        <color indexed="60"/>
        <rFont val="Microsoft Tai Le"/>
        <family val="2"/>
      </rPr>
      <t>pérdidas</t>
    </r>
    <r>
      <rPr>
        <b/>
        <sz val="8"/>
        <color indexed="8"/>
        <rFont val="Microsoft Tai Le"/>
        <family val="2"/>
      </rPr>
      <t xml:space="preserve"> excesivas  por la venta de activos o descuentos inusuales que realice con el fin de disponer de recursos para cumplir con sus obligaciones.</t>
    </r>
  </si>
  <si>
    <t>(Excedentes/(pat1+pat2)/2)+1)^(12/1))-1)</t>
  </si>
  <si>
    <t>EBITDA</t>
  </si>
  <si>
    <t>ADMINISTRACION DE EDIFICIO CONCASA</t>
  </si>
  <si>
    <t>PROVISION HURTO DE CHEQUES</t>
  </si>
  <si>
    <t>CUOTAS  SOSTENIMIENTO ANALFE</t>
  </si>
  <si>
    <t>FODES</t>
  </si>
  <si>
    <t>CREDITOS  CORTO PLAZO</t>
  </si>
  <si>
    <t>CREDITOS  LARGO PLAZO</t>
  </si>
  <si>
    <t>INTERESES CREDITOS</t>
  </si>
  <si>
    <t>INTERESES CDTAS Y AH-CONTRACTUAL</t>
  </si>
  <si>
    <t>CATEGORIA "A" RIESGO NORMAL</t>
  </si>
  <si>
    <t>CATEGORIA "B" RIESGO ACEPTABLE</t>
  </si>
  <si>
    <t>CATEGORIA "D" RIESGO SIGNIFICATIVO</t>
  </si>
  <si>
    <t>CATEGORIA "C" RIESGO APRECIABLE</t>
  </si>
  <si>
    <t>CATEGORIA" E" RIESGO DE INCOBRABILIDAD"</t>
  </si>
  <si>
    <t>ESTADO DE RESULTADO</t>
  </si>
  <si>
    <t>LILIANA M.  GARAY CAPARROSO</t>
  </si>
  <si>
    <t>ACUMULADO</t>
  </si>
  <si>
    <t>RIESGO LIQUIDEZ</t>
  </si>
  <si>
    <t>Este indicador mide la utilizacion de los depositos de los asociados, Fonrecar invierte el 100% de los depositos de sus asociados en Cartera garantizando de esta forma la correcta utilizacion de los recursos generados.</t>
  </si>
  <si>
    <t>Fonrecar posee capital institucional el cual respaldaria un eventual crisis por perdida asumidas, mas sin embargo se recomienda monitorear con base a las proyecciones financieras, el crecimiento de los aportes sociales y del capital institucional de la entidad</t>
  </si>
  <si>
    <t>Este indicador traduce la rentabilidad generada en promedio por la cartera invertida en los asociados, Debido a la dinamica del mercado reflejada en el aumento de la tasa de usura este indicador paso de amarillo a verde es decir que segun los parametros de la Super solidaria Fonrecar se encuentra en un buen nivel.</t>
  </si>
  <si>
    <t>Este indicador ha sido el reflejo de la estrategia utilizada por la entidad en periodos anteriores, donde se ha sacrificado la rentabilidad (mayores costos) pero se obtuvo liquiez (captacion de recursos CDAT), mas sin embargo esta estrategia ha sido revaluada este ultimo año y ha permitido disminuir los costos de esta fuente de financiacion, donde el impacto de esta nueva estrategia no es inmediato, se va a reflejar a traves del tiempo.</t>
  </si>
  <si>
    <t>La mayor parte de los activos se encuentra ubicado en activos productivos cumpliendo asi la logica del negocio financiero. Se recomienda seguir con esta estrategia  operacional optimizando cada dia mas los recursos de la entidad</t>
  </si>
  <si>
    <t>El nivel de Ingresos que Fonrecar este generando es aceptable de acuerdo a las vaiables externas que enfrenta como la dura competencia, la compra de cartera etc, el cual le alcanza para cubrir su estructura de costos y gastos y generar excedentes, Se recomienda continuar con las gestionas realizadas para alcanzar los objetivos propuesto siempre estando atento a los cambios del mercado y a la evolucion de necesidades de sus asociados.</t>
  </si>
  <si>
    <t xml:space="preserve">Fonrecar esta cumpliendo con la logica financiera del negocio, colocando la mayor parte de sus recursos en cartera de asociados, logrando de esta forma optimizar cada peso recibido y a su vez satisfaciendo los requerimientos de sus asociados, se recomienda continuar con las politicas de inversiones reflejadas en este indicador </t>
  </si>
  <si>
    <t>Fonrecar esta financiando su operatividad con una mayor participacion de Depositos de Asociados generando la dinamica necesaria para el negocio financiero. se recomienda continuar las politicas establecidas para mantener e incrementar el nivel de estos indicadores mediante actividades como campañas de aumento de captacion de CDAT, campañas de aumento de captacion de Ahorros programados, campañas de aumento de Ahorros permanentes etc.)</t>
  </si>
  <si>
    <t>Esta fuente de apalancamiento esta siendo usada por Fonrecar para mantener la dinamica del negocio, y asi continuar con la generacion continua de ingresos por lo tanto se recomienda continurar con su uso moderado, combinandola con las el aumento de las otras fuentes de financiacion.</t>
  </si>
  <si>
    <t>se recomienda para la proxima asamblea aumentar el nivel de este indicador teniendo en cuenta las proyecciones de crecimiento de la entidad.</t>
  </si>
  <si>
    <t>IPC</t>
  </si>
  <si>
    <t>A pesar de que este indicador presente una alerta en el umbral recomendado por la supersolidaria, financieramente se encuentra en un buen nivel debido a que la entidad no posee recursos ociosos, es decir, los recursos rotan con gran dinamica lo que permite obtener mejores resultados</t>
  </si>
  <si>
    <t>Como se observa este indicador comparado con el periodo anterior aumento, debido a el no pago de forma oportuna de algunas obligaciones de asociados que estaban en categoria A y pasaron a categoria B y de otras obligaciones que estaban en categoria C y pasaron a categoria D</t>
  </si>
  <si>
    <t>Este indicador esta reglado por la normatividad de la Supersolidaria, Fonrecar cumple con las directrices emitidas por el ente supervisor, se recomienda mantenerlo en este nivel</t>
  </si>
  <si>
    <t>Los Aportes Sociales estan financiando las inverisiones de Fonrecar en un proporcion aceptable, mejorando año tras año este indicador dandole mas relevancia a el apalancamiento de las inversiones de Fonrecar con base a los depositos de los asociados</t>
  </si>
  <si>
    <t>Cavipetrol</t>
  </si>
  <si>
    <t>Coopetrol</t>
  </si>
  <si>
    <t>Fonrecar</t>
  </si>
  <si>
    <t>HOY</t>
  </si>
  <si>
    <t>PROPUESTA</t>
  </si>
  <si>
    <t>TASAS\ENTIDAD</t>
  </si>
  <si>
    <t>DTF + 4,5%</t>
  </si>
  <si>
    <t>DTF + 4,75%</t>
  </si>
  <si>
    <t>DTF + 5%</t>
  </si>
  <si>
    <t>LINEAS/MESES</t>
  </si>
  <si>
    <t>Unica Inversion</t>
  </si>
  <si>
    <t>Vehiculo</t>
  </si>
  <si>
    <t xml:space="preserve">Primas </t>
  </si>
  <si>
    <t>Comercial Social</t>
  </si>
  <si>
    <t>Computador</t>
  </si>
  <si>
    <t>Corto</t>
  </si>
  <si>
    <t>Educativo</t>
  </si>
  <si>
    <t>ENERO --  2012</t>
  </si>
  <si>
    <t>Ejecutado</t>
  </si>
  <si>
    <t>Cumplimiento</t>
  </si>
  <si>
    <t>Compra de Cartera</t>
  </si>
  <si>
    <t>Diferencia por colocar</t>
  </si>
  <si>
    <t>Total por colocar</t>
  </si>
  <si>
    <t>Ejec - Febrero</t>
  </si>
  <si>
    <t>Proy -Febrero</t>
  </si>
  <si>
    <t>ARRIENDOS OFICINA CADIS</t>
  </si>
  <si>
    <t xml:space="preserve">A pesar de haber tenido una leve mejoria en los indicadores no se ha llegado al nivel requerido, debido a las provisiones de cartera vencida, por lo tanto se requiere mantener en un  nivel adecuado dichas provisiones y contiuar con las estrategias de recuperacion de la cartera vencida. </t>
  </si>
  <si>
    <t xml:space="preserve">Crecimiento </t>
  </si>
  <si>
    <t xml:space="preserve">% </t>
  </si>
  <si>
    <t>Indicador</t>
  </si>
  <si>
    <t>Según P.E</t>
  </si>
  <si>
    <t>Saldo de Ahorro permanente</t>
  </si>
  <si>
    <t>Saldo de CDAT</t>
  </si>
  <si>
    <t>Saldo de Ahorro Programado</t>
  </si>
  <si>
    <t>Saldo de Cartera de Creditos</t>
  </si>
  <si>
    <t>Nivel de Colocaciones</t>
  </si>
  <si>
    <t>Nivel de Ingresos</t>
  </si>
  <si>
    <t>Nivel de Cartera Vencida</t>
  </si>
  <si>
    <t>Base Social</t>
  </si>
  <si>
    <t>Meta total</t>
  </si>
  <si>
    <t>Nov</t>
  </si>
  <si>
    <t>Contribucion de nuevas emp.</t>
  </si>
  <si>
    <t>Sin Nuevas Empresas</t>
  </si>
  <si>
    <t>Real 2010-2011</t>
  </si>
  <si>
    <t xml:space="preserve">al Crecimiento 2010 - 2011  </t>
  </si>
  <si>
    <t>Aportes (ahorros mas aportes)</t>
  </si>
  <si>
    <t>Cartera de Creditos</t>
  </si>
  <si>
    <t>Ingresos por Intereses</t>
  </si>
  <si>
    <t>Colocaciones</t>
  </si>
  <si>
    <t>Año 2011</t>
  </si>
  <si>
    <t xml:space="preserve">Ene </t>
  </si>
  <si>
    <t>Feb</t>
  </si>
  <si>
    <t>Año 2012</t>
  </si>
  <si>
    <t xml:space="preserve">PANORAMA DE CONTROL DE LA SITUACION FINANCIERA </t>
  </si>
  <si>
    <t>Prov. Individual</t>
  </si>
  <si>
    <t>Cartera Vencida</t>
  </si>
  <si>
    <t>(costos+gastos)/Ingresos</t>
  </si>
  <si>
    <t>Prov. General</t>
  </si>
  <si>
    <t>Costos/Ingresos</t>
  </si>
  <si>
    <t>Rentabilidad del activo</t>
  </si>
  <si>
    <t>Margen Operacional</t>
  </si>
  <si>
    <t>G. admon/Ingresos</t>
  </si>
  <si>
    <t>Depos./ Activos</t>
  </si>
  <si>
    <t>Saldo CDAT</t>
  </si>
  <si>
    <t>Saldo Cartera</t>
  </si>
  <si>
    <t>Nivel colocaciones</t>
  </si>
  <si>
    <t>Credito Externo</t>
  </si>
  <si>
    <t>Nivel de disponibles</t>
  </si>
  <si>
    <t>Saldo Ahorro Per.</t>
  </si>
  <si>
    <t>Aportes Sociales</t>
  </si>
  <si>
    <t>Saldo Ahorro Pro.</t>
  </si>
  <si>
    <t>Verde</t>
  </si>
  <si>
    <t>Amarillo</t>
  </si>
  <si>
    <t>Rojo</t>
  </si>
  <si>
    <t>&gt;3,01%</t>
  </si>
  <si>
    <t>&lt;3,01% y &gt;2,46%</t>
  </si>
  <si>
    <t>&lt;2,46%</t>
  </si>
  <si>
    <t>&lt;45,70%</t>
  </si>
  <si>
    <t>&gt;45,7 y &lt;55,8%</t>
  </si>
  <si>
    <t>&gt;55,8%</t>
  </si>
  <si>
    <t>Ingresos del periodo</t>
  </si>
  <si>
    <t>Ingresos Recuperados</t>
  </si>
  <si>
    <t>INDICADORES CRECIMIENTO PLANEACION ESTRATEGICA</t>
  </si>
  <si>
    <t>Eficiencia operacional</t>
  </si>
  <si>
    <t>Margen operacional</t>
  </si>
  <si>
    <t>Credito externo</t>
  </si>
  <si>
    <t>Depositivos / Activos</t>
  </si>
  <si>
    <t>1 Escenario</t>
  </si>
  <si>
    <t>Indicadores</t>
  </si>
  <si>
    <t>Presupuesto 2012</t>
  </si>
  <si>
    <t>Según Decisión de asamblea</t>
  </si>
  <si>
    <t>Efecto decisión Asamblea</t>
  </si>
  <si>
    <t>Aumentando las colocaciones en $ 800.000.000</t>
  </si>
  <si>
    <t>Apancamiento con CDAT y Credito Externo</t>
  </si>
  <si>
    <t>Apancamiento solo con Credito Externo</t>
  </si>
  <si>
    <t>2 Escenario</t>
  </si>
  <si>
    <t>Aumentando las colocaciones en $ 1.600.000.000</t>
  </si>
  <si>
    <t>Rentabilidad</t>
  </si>
  <si>
    <t>Estructura</t>
  </si>
  <si>
    <t>Endeud. sin Ahorro Perm.</t>
  </si>
  <si>
    <t>3° Escenario</t>
  </si>
  <si>
    <t>fondo</t>
  </si>
  <si>
    <t>Este indicador esta reglado por la normatividad de la Supersolidaria, El Fondo cumple con las directrices emitidas por el ente supervisor, se recomienda mantenerlo en este nivel</t>
  </si>
  <si>
    <t>Este indicador mide la utilizacion de los depositos de los asociados, El Fondo invierte el 100% de los depositos de sus asociados en Cartera garantizando de esta forma la correcta utilizacion de los recursos generados.</t>
  </si>
  <si>
    <t>El fondo posee capital institucional el cual respaldaria un eventual crisis por perdida asumidas, mas sin embargo se recomienda monitorear con base a las proyecciones financieras, el crecimiento de los aportes sociales y del capital institucional de la entidad</t>
  </si>
  <si>
    <t>Este indicador traduce la rentabilidad generada en promedio por la cartera invertida en los asociados, Debido a la dinamica del mercado reflejada en el aumento de la tasa de usura este indicador paso de amarillo a verde es decir que segun los parametros de la Super solidaria El Fondo se encuentra en un buen nivel.</t>
  </si>
  <si>
    <t>Este indicador traduce la rentabilidad generada en promedio por la cartera invertida en los asociados, Debido a la dinamica del mercado reflejada en el aumento de la tasa de usura este indicador paso de amarillo a verde es decir que segun los parametros de la Super solidaria El fondo se encuentra en un buen nivel.</t>
  </si>
  <si>
    <t>El nivel de Ingresos que El fondo este generando es aceptable de acuerdo a las vaiables externas que enfrenta como la dura competencia, la compra de cartera etc, el cual le alcanza para cubrir su estructura de costos y gastos y generar excedentes, Se recomienda continuar con las gestionas realizadas para alcanzar los objetivos propuesto siempre estando atento a los cambios del mercado y a la evolucion de necesidades de sus asociados.</t>
  </si>
  <si>
    <t xml:space="preserve">El Fondo esta cumpliendo con la logica financiera del negocio, colocando la mayor parte de sus recursos en cartera de asociados, logrando de esta forma optimizar cada peso recibido y a su vez satisfaciendo los requerimientos de sus asociados, se recomienda continuar con las politicas de inversiones reflejadas en este indicador </t>
  </si>
  <si>
    <t>El Fondo esta financiando su operatividad con una mayor participacion de Depositos de Asociados generando la dinamica necesaria para el negocio financiero. se recomienda continuar las politicas establecidas para mantener e incrementar el nivel de estos indicadores mediante actividades como campañas de aumento de captacion de CDAT, campañas de aumento de captacion de Ahorros programados, campañas de aumento de Ahorros permanentes etc.)</t>
  </si>
  <si>
    <t>Esta fuente de apalancamiento esta siendo usada por El Fondo para mantener la dinamica del negocio, y asi continuar con la generacion continua de ingresos por lo tanto se recomienda continurar con su uso moderado, combinandola con las el aumento de las otras fuentes de financiacion.</t>
  </si>
  <si>
    <t>Los Aportes Sociales estan financiando las inverisiones de El Fondo en un proporcion aceptable, mejorando año tras año este indicador dandole mas relevancia a el apalancamiento de las inversiones de Fonrecar con base a los depositos de los asociados</t>
  </si>
  <si>
    <t>El fondo con base al comportamiento historico de la cartera vencida deberia disminuir este indicador y mantenerlo aproximadamente en un 25% a 30% generando un mayor rendimiento en sus excedentes y solo aumentarlo en caso dado que la cartera vencida aumente considerablemnte</t>
  </si>
  <si>
    <t>Fondo</t>
  </si>
  <si>
    <t>INDICADORES FINANCIEROS 2012</t>
  </si>
  <si>
    <t>Este indicador de cartera vencida tuvo una considerable disminucion gracias a estrategias desarrolladas en la gestion de cobro realizada permmitiendo a su vez  reversar parte de la provision realizada en meses anteriores y generar mas eficiencia operacional</t>
  </si>
  <si>
    <t>Este indicador se disparo debido a la recuperacion de la cartera vencida, puesto que a menor capitales vencidos mayor resultara el porcentaje de participacion de la provision en la cartera vencida, sin que esto implique un mayor valor a la provision, al contrario gracias a la recuperacion de la cartera vencida se pudo reversar el gasto de la proviones relaizadas en los meses anteriores.</t>
  </si>
  <si>
    <t>Los indicadores de rentabilidad han ido mejorando sus niveles, especialmente el de rentabilidad del activo que a inicio de año estuvo en rojo y a fecha se encuentra en verde esto debido a el cumplimiento del presupuesto establecido para el 2012 y especialmente a la recuperacion de las provisiones de cartera vencida generadas en el 1° trimestre del año, las cuales en este periodo fueron recuperadas lo que permitio una mejora en los niveles de rentabilidad dados</t>
  </si>
  <si>
    <t>Estos indicadores dependen del comportamiento y evolucion de los ingresos, costos y gastos por lo anterior el efecto generado debido a la gestion realizada ha sido altamente positivo puesto que se ha logrado  mantener los presupuestos en los ingresos, de los costos y gastos y a su vez la recuperacion de las provisiones de cartera vencida.</t>
  </si>
  <si>
    <t>nivel de ingresos</t>
  </si>
  <si>
    <t>Julio 2011 - Julio 2012</t>
  </si>
  <si>
    <t>Junio 2011 - Junio 2012</t>
  </si>
  <si>
    <t>Enero</t>
  </si>
  <si>
    <t>Febrero</t>
  </si>
  <si>
    <t>Marzo</t>
  </si>
  <si>
    <t>Abril</t>
  </si>
  <si>
    <t>Mayo</t>
  </si>
  <si>
    <t>Junio</t>
  </si>
  <si>
    <t>Julio</t>
  </si>
  <si>
    <t>Saldo Depositos</t>
  </si>
  <si>
    <t>Diciembre</t>
  </si>
  <si>
    <t>Agosto</t>
  </si>
  <si>
    <t>Cartera Proyec.</t>
  </si>
  <si>
    <t>Depositos Proyec.</t>
  </si>
  <si>
    <t>Objetivo</t>
  </si>
  <si>
    <t>0-1 años</t>
  </si>
  <si>
    <t>&gt;1 a 2 años</t>
  </si>
  <si>
    <t>&gt;2 a 3 años</t>
  </si>
  <si>
    <t>&gt; 3 años</t>
  </si>
  <si>
    <t>25 SMMLV</t>
  </si>
  <si>
    <t>50 SMMLV</t>
  </si>
  <si>
    <t>75 SMMLV</t>
  </si>
  <si>
    <t>100 SMMLV</t>
  </si>
  <si>
    <t>Si el asociado posee CDAT en Fonrecar que cubra el 50% del monto del credito solicitado, y lo pignore a Fonrecar, la anterior norma no aplicaria</t>
  </si>
  <si>
    <t>Antigüedad en el Fondo</t>
  </si>
  <si>
    <t>Monto maximo en SMMLV</t>
  </si>
  <si>
    <t>Monto maximo en $</t>
  </si>
  <si>
    <t>Cambio: En la linea unica de inversion.</t>
  </si>
  <si>
    <t>Paragrafo:</t>
  </si>
  <si>
    <t>Incentivar el Ahorro voluntario</t>
  </si>
  <si>
    <t>Cambio:  Reglamento de CDAT</t>
  </si>
  <si>
    <t>Monto Minimo</t>
  </si>
  <si>
    <t xml:space="preserve">Actual </t>
  </si>
  <si>
    <t>Propuesta</t>
  </si>
  <si>
    <t>1 SMMLV</t>
  </si>
  <si>
    <t>1/2 SMMLV</t>
  </si>
  <si>
    <t>Condición</t>
  </si>
  <si>
    <t>Tasa (plazo 6 meses)</t>
  </si>
  <si>
    <t xml:space="preserve">1. </t>
  </si>
  <si>
    <t>Argumentacion</t>
  </si>
  <si>
    <t>Ampliar la cobertura de este producto con el fin aumentar la participacion</t>
  </si>
  <si>
    <t xml:space="preserve">2. </t>
  </si>
  <si>
    <t xml:space="preserve">en la base social, es decir, pasar de una participacion actual del 5,46% a  </t>
  </si>
  <si>
    <t>una participacion de este producto en la base social del 20%</t>
  </si>
  <si>
    <t xml:space="preserve">3. </t>
  </si>
  <si>
    <t>Minimizar el riesgo de concentracion de captaciones.</t>
  </si>
  <si>
    <t xml:space="preserve">4. </t>
  </si>
  <si>
    <t>Mantener la competitividad del producto con respecto a las entidades del sector.</t>
  </si>
  <si>
    <t>Aumentar las fuentes de apalancamiento por ahorros voluntarios de los asociados.</t>
  </si>
  <si>
    <t>Saldo Cartera Ejecutada</t>
  </si>
  <si>
    <t>Saldo Cartera proyectada</t>
  </si>
  <si>
    <t>Saldo Depositos Ejecutado</t>
  </si>
  <si>
    <t>Saldo Depositos Proyectada</t>
  </si>
  <si>
    <t xml:space="preserve">Objetivo: Minimizar la concentracion del riesgo de Cartera </t>
  </si>
  <si>
    <t>ASISTENCIA MEDICA ASOCIADOS</t>
  </si>
  <si>
    <t>SEGURO</t>
  </si>
  <si>
    <t xml:space="preserve">EJECUCION PRESUPUESTAL </t>
  </si>
  <si>
    <t>PERIODO 2013-2013</t>
  </si>
  <si>
    <t xml:space="preserve">                 CONTADOR TP 147475-T</t>
  </si>
  <si>
    <t>APORTES PARAFISCLES</t>
  </si>
  <si>
    <t>INTERESES Y COSTOS CDAT Y AHORRO PROGA</t>
  </si>
  <si>
    <t>RECUPERACION CARTERA VENCIDA</t>
  </si>
  <si>
    <t>BIENES DE FONDOS SOCIALES</t>
  </si>
  <si>
    <t>GASTOS MEDICOS Y MEDICAMENTOS</t>
  </si>
  <si>
    <t>Sirven para medir la efectividad de los administradores de la empresa para controlar los costos y gastos.</t>
  </si>
  <si>
    <t>Es la probabilidad de que una organización  incurra en perdidas y se disminuya el valor de sus activos como consecuencia de que sus deudores incumplan con el pago de sus obligaciones.</t>
  </si>
  <si>
    <t xml:space="preserve">Este indicador debido a modificaciones realizadas a la normatividad vigente debera a diciembre del 2013 llegar al 1% </t>
  </si>
  <si>
    <t>Con Inversion</t>
  </si>
  <si>
    <t>Social</t>
  </si>
  <si>
    <t xml:space="preserve">Sin Inveersion </t>
  </si>
  <si>
    <t>CELEBRACION 55 AÑOS</t>
  </si>
  <si>
    <t>PRESUPUESTO 2013</t>
  </si>
  <si>
    <t>PROYECTADO 2013</t>
  </si>
  <si>
    <t>Vert</t>
  </si>
  <si>
    <t>INTERESES CDAT Y AHORR PROG</t>
  </si>
  <si>
    <t>INTERESES AHORROS PERMANENT.</t>
  </si>
  <si>
    <t>GASTO DE PERSONAL</t>
  </si>
  <si>
    <t>APORTES CAJA DE COMPENSACION</t>
  </si>
  <si>
    <t>APORTES I.C.B.F.</t>
  </si>
  <si>
    <t>APORTES SENA</t>
  </si>
  <si>
    <t>GASTOS GENERALES</t>
  </si>
  <si>
    <t>CONTRIBUCIONES Y AFILIACIONES ANALFE</t>
  </si>
  <si>
    <t>SOSTENIMIENTO SUPERSOLIDARIA</t>
  </si>
  <si>
    <t>DEPRECIACION ELEMENTOS DIDAC.</t>
  </si>
  <si>
    <t>PROYECTO IMPLEMENTACION NIFT</t>
  </si>
  <si>
    <t xml:space="preserve">SISTEMA DE ADMON DE RIESGOS </t>
  </si>
  <si>
    <t>TOTAL GASTOS GENERALES</t>
  </si>
  <si>
    <t>TOTAL COSTOS Y GASTOS DE OPERACION</t>
  </si>
  <si>
    <t>EJECUTADO</t>
  </si>
  <si>
    <t>PROYECTADO</t>
  </si>
  <si>
    <t>SALDOS</t>
  </si>
  <si>
    <t>SISTEMA ADMINISTRACION RIESGO</t>
  </si>
  <si>
    <t xml:space="preserve">CDTS COOPCENTRAL </t>
  </si>
  <si>
    <t>PERIODO JULIO 2014-2013</t>
  </si>
  <si>
    <t>RECUPERACIONES DE CARTERA</t>
  </si>
  <si>
    <t>Incapacidades y/o Licencias</t>
  </si>
  <si>
    <t>EJECUTADO VS PRESUPUESTO AÑO 2014</t>
  </si>
  <si>
    <t>MENSUAL</t>
  </si>
  <si>
    <t>ANUAL</t>
  </si>
  <si>
    <t>PROYECTO DE TARJETA CREDITO-DEB.</t>
  </si>
  <si>
    <t>Vigente</t>
  </si>
  <si>
    <t>ESTE NO ESTA ACTUALIZADO</t>
  </si>
  <si>
    <t>IMPLEMENTACION DE NIIF</t>
  </si>
  <si>
    <t xml:space="preserve">Excedentes Depurados </t>
  </si>
  <si>
    <t>20000000 AMPLIADO X JUNTA DIRECTIVA</t>
  </si>
  <si>
    <t xml:space="preserve"> A C T I V O S</t>
  </si>
  <si>
    <t>BANCOS Y OTRAS ENTIDADES</t>
  </si>
  <si>
    <t>BANCOS COMERCIALES</t>
  </si>
  <si>
    <t>Banco de Occidente Cta Cte  0768</t>
  </si>
  <si>
    <t>BanCoomeva Cta Cte 9706</t>
  </si>
  <si>
    <t>BanCoomeva Cta Ah 250200523601</t>
  </si>
  <si>
    <t>Banco de Occidente Cta Cte  6109</t>
  </si>
  <si>
    <t>Banco de Occidente Cta Ah  5136</t>
  </si>
  <si>
    <t>Banco AV Villas Cta Cte 8470</t>
  </si>
  <si>
    <t>DEPOSITO DE AHORRO A LA VISTA</t>
  </si>
  <si>
    <t>CERTIFICADO DE DEPÓSITO DE AHORRO A TÉRMINO</t>
  </si>
  <si>
    <t>Certificado de Deposito A Termino</t>
  </si>
  <si>
    <t>INVERSIONES PERMANENTES</t>
  </si>
  <si>
    <t>CATEGORIA A RIESGO NORMAL</t>
  </si>
  <si>
    <t>Consumo Otras Garant Categoría A con Libranza</t>
  </si>
  <si>
    <t>CATEGORIA B RIESGO ACEPTABLE</t>
  </si>
  <si>
    <t>Consumo Otras Garant Categoría B con Libranza</t>
  </si>
  <si>
    <t>CATEGORIA C RIESGO APRECIABLE</t>
  </si>
  <si>
    <t>Consumo Otras Garant Categoría C con Libranza</t>
  </si>
  <si>
    <t>CATEGORIA D RIESGO SIGNIFICATIVO</t>
  </si>
  <si>
    <t>Consumo Otras Garant Categoría D con Libranza</t>
  </si>
  <si>
    <t>CATEGORIA E RIESGO DE INCOBRABILIDAD</t>
  </si>
  <si>
    <t>Consumo Otras Garant Categoría E con Libranza</t>
  </si>
  <si>
    <t>CREDITOS DE CONSUMO, OTRAS GARTANTÍAS  SIN LI</t>
  </si>
  <si>
    <t>Consumo Otras Garant Categoría A sin Libranza</t>
  </si>
  <si>
    <t>Consumo Otras Garant Categoría D sin Libranza</t>
  </si>
  <si>
    <t>CATEGORIA B - CREDITO ACEPTABLE, OTRAS GARANT</t>
  </si>
  <si>
    <t>Consumo Otras Garantías Categoría B</t>
  </si>
  <si>
    <t>CATEGORIA C - CREDITO APRECIABLE, OTRAS GARAN</t>
  </si>
  <si>
    <t>Consumo Otras Garantías Categoría C</t>
  </si>
  <si>
    <t>CATEGORIA D - CREDITO SIGNIFICATIVO, OTRAS GA</t>
  </si>
  <si>
    <t>Consumo Otras Garantías Categoría D</t>
  </si>
  <si>
    <t>CATEGORIA E - CREDITO IRRECUPERABLE, OTRAS GA</t>
  </si>
  <si>
    <t>Consumo Otras Garantías Categoría E</t>
  </si>
  <si>
    <t>PROVISION CREDITOS CON LIBRANZA</t>
  </si>
  <si>
    <t>Consumo con Libranza</t>
  </si>
  <si>
    <t>PROVISION CREDITOS SIN LIBRANZA</t>
  </si>
  <si>
    <t>Consumo sin Libranza</t>
  </si>
  <si>
    <t>CONVENIOS POR COBRAR</t>
  </si>
  <si>
    <t>SERVICIOS MEDICOS Y HOSPITALARIOS</t>
  </si>
  <si>
    <t>Servicios Medicos y Hospitalarios</t>
  </si>
  <si>
    <t>OTROS SERVICIOS</t>
  </si>
  <si>
    <t>Otros Servicios</t>
  </si>
  <si>
    <t>OTROS CONVENIOS</t>
  </si>
  <si>
    <t>Seguro Deudores</t>
  </si>
  <si>
    <t>ANTICIPOS DE CONTRATOS Y PROVEEDORES</t>
  </si>
  <si>
    <t>Anticipos a Proveedores</t>
  </si>
  <si>
    <t>CATEGORIA A RIESGO NORMAL, CONSUMO</t>
  </si>
  <si>
    <t>Empleados Consumo Categoría A</t>
  </si>
  <si>
    <t>OTROS</t>
  </si>
  <si>
    <t>Empleados Intereses Corrientes</t>
  </si>
  <si>
    <t>DEUDORES PATRONALES Y EMPRESAS</t>
  </si>
  <si>
    <t>DESCUENTO DE NOMINA</t>
  </si>
  <si>
    <t>Descuentos de Nómina</t>
  </si>
  <si>
    <t>INTERESES CORRIENTES</t>
  </si>
  <si>
    <t>Consumo Corrientes Categoría A</t>
  </si>
  <si>
    <t>INTERESES MORATORIOS</t>
  </si>
  <si>
    <t>Consumo Moratorios Categoría A</t>
  </si>
  <si>
    <t>CATEGORIA B RIESGO ACEPTABLE, CONSUMO</t>
  </si>
  <si>
    <t>Consumo Corrientes Categoría B</t>
  </si>
  <si>
    <t>Consumo Moratorios Categoría B</t>
  </si>
  <si>
    <t>CATEGORIA C RIESGO APRECIABLE, CONSUMO</t>
  </si>
  <si>
    <t>Consumo Corrientes Categoría C</t>
  </si>
  <si>
    <t>CATEGORIA D RIESGO SIGNIFICATIVO, CONSUMO</t>
  </si>
  <si>
    <t>Consumo Corrientes Categoría D</t>
  </si>
  <si>
    <t>Consumo Moratorios Categoría D</t>
  </si>
  <si>
    <t>CATEGORIA E RIESGO DE INCOBRABILIDAD, CONSUMO</t>
  </si>
  <si>
    <t>Consumo Corrientes Categoría E</t>
  </si>
  <si>
    <t>Consumo Moratorios Categoría E</t>
  </si>
  <si>
    <t>INGRESOS  POR COBRAR</t>
  </si>
  <si>
    <t>OTRAS</t>
  </si>
  <si>
    <t>RECLAMOS A COMPAÑIAS ASEGURADORAS</t>
  </si>
  <si>
    <t>Reclamos a Compañías Aseguradoras</t>
  </si>
  <si>
    <t>CUENTAS POR COBRAR  DE TERCEROS</t>
  </si>
  <si>
    <t>Cuentas por Cobrar a Terceros</t>
  </si>
  <si>
    <t>PROVISION CUENTAS POR COBRAR DE CONSUMO</t>
  </si>
  <si>
    <t>CATEGORIA C - CREDITO APRECIABLE, INTERESES</t>
  </si>
  <si>
    <t>Consumo Categoria C</t>
  </si>
  <si>
    <t>CATEGORIA D - CREDITO SIGNIFICATIVO, INTERESE</t>
  </si>
  <si>
    <t>Consumo Categoria D</t>
  </si>
  <si>
    <t>CATEGORIA E - CREDITO IRRECUPERABLE, INTERESE</t>
  </si>
  <si>
    <t>Consumo Categoria E</t>
  </si>
  <si>
    <t>PROPIEDADES PLANTA Y EQUIPO</t>
  </si>
  <si>
    <t>EDIFICACIONES</t>
  </si>
  <si>
    <t>EDIFICIOS</t>
  </si>
  <si>
    <t>Edificios</t>
  </si>
  <si>
    <t>MUEBLES Y EQUIPO DE OFICINA</t>
  </si>
  <si>
    <t>MUEBLES</t>
  </si>
  <si>
    <t>Muebles</t>
  </si>
  <si>
    <t>EQUIPO</t>
  </si>
  <si>
    <t>Equipo de oficina</t>
  </si>
  <si>
    <t>EQUIPO DE CÓMPUTO Y COMUNICACION</t>
  </si>
  <si>
    <t>EQUIPOS DE CÓMPUTO</t>
  </si>
  <si>
    <t>Equipo de Computo</t>
  </si>
  <si>
    <t>EQUIPOS DE COMUNICACION</t>
  </si>
  <si>
    <t>Equipo de Comunicación</t>
  </si>
  <si>
    <t>DEPRECIACION  ACUMULADA</t>
  </si>
  <si>
    <t>Edificaciones</t>
  </si>
  <si>
    <t>Muebles y Equipo de Oficina</t>
  </si>
  <si>
    <t>EQUIPO DE COMPUTACION Y COMUNICACION</t>
  </si>
  <si>
    <t>Equipo de Computacion y Comunicaciones</t>
  </si>
  <si>
    <t>SERVICIOS</t>
  </si>
  <si>
    <t>LICENCIAS</t>
  </si>
  <si>
    <t>Licencias</t>
  </si>
  <si>
    <t>PASIVO</t>
  </si>
  <si>
    <t xml:space="preserve">DEPOSITOS </t>
  </si>
  <si>
    <t>CERTIFICADOS DEPOSITOS DE AHORRO A TÉRMINO</t>
  </si>
  <si>
    <t>EMITIDOS IGUAL A 6 MESES Y MENOR E IGUAL DE 1</t>
  </si>
  <si>
    <t>Emitidos Igual a 6 Meses y &lt;= de un Año</t>
  </si>
  <si>
    <t>EMITIDOS MAYOR A 12 MESES Y MENOR DE 18 MESES</t>
  </si>
  <si>
    <t>Emitidos Mayor a 12 Meses y Menor de 18 Meses</t>
  </si>
  <si>
    <t>DEPOSITOS  DE AHORRO CONTRACTUAL</t>
  </si>
  <si>
    <t>DEPOSITOS A CORTO PLAZO -  ACTIVAS</t>
  </si>
  <si>
    <t>Ahorro Contractual Corto Plazo</t>
  </si>
  <si>
    <t>DEPOSITOS DE AHORRO PERMANENTE</t>
  </si>
  <si>
    <t>DEPOSITOS A LARGO PLAZO</t>
  </si>
  <si>
    <t>Ahorro Permanente</t>
  </si>
  <si>
    <t>CREDITOS DE BANCOS Y OTRAS OBLIGACIONES FINAN</t>
  </si>
  <si>
    <t>Otros Costos y Gastos por Pagar</t>
  </si>
  <si>
    <t>NACIONALES</t>
  </si>
  <si>
    <t>Proveedores Nacionales</t>
  </si>
  <si>
    <t>GRAVAMEN DE LOS MOVIMIENTOS FINANCIEROS</t>
  </si>
  <si>
    <t>SOBRE DEPOSITOS DE AHORROS PERMANENTES</t>
  </si>
  <si>
    <t>Sobre Depósitos de Ahorro Permanente</t>
  </si>
  <si>
    <t>SALARIOS Y PAGOS LABORALES</t>
  </si>
  <si>
    <t>Retención Salarios</t>
  </si>
  <si>
    <t>Honorarios 10%</t>
  </si>
  <si>
    <t>Servicios 6%</t>
  </si>
  <si>
    <t>Servicios declarantes 4%</t>
  </si>
  <si>
    <t>RENDIMIENTOS FINANCIEROS</t>
  </si>
  <si>
    <t>Rendimientos Financieros 7%</t>
  </si>
  <si>
    <t>COMPRAS</t>
  </si>
  <si>
    <t>Compra en general 2.5%</t>
  </si>
  <si>
    <t xml:space="preserve">APORTES A BIENESTAR PROMOTORAS DE SALUD EPS </t>
  </si>
  <si>
    <t>Aportes a Salud</t>
  </si>
  <si>
    <t xml:space="preserve">APORTES A BIENESTAR PROMOTORAS DE  PENSION </t>
  </si>
  <si>
    <t>Administradora de Pensiones</t>
  </si>
  <si>
    <t>APORTES A ADMINISTRADORAS DE RIESGOS PROFESIO</t>
  </si>
  <si>
    <t>Aportes a Bienestar Promotoras de Riesgos Pro</t>
  </si>
  <si>
    <t>APORTES AL I.C.B.F., SENA Y CAJAS DE COMPENSA</t>
  </si>
  <si>
    <t>Aportes ICBF, Sena, Cajas de Compensacion Fam</t>
  </si>
  <si>
    <t>EXIGIBILIDADES POR SERVICIOS DE  RECAUDO</t>
  </si>
  <si>
    <t>CONVENIOS PROGRAMADOS</t>
  </si>
  <si>
    <t>Convenios Programados</t>
  </si>
  <si>
    <t xml:space="preserve">DE APORTES  EXASOCIADOS </t>
  </si>
  <si>
    <t>Remanentes de Aportes Exasociados</t>
  </si>
  <si>
    <t>DIVERSAS</t>
  </si>
  <si>
    <t>Transitoria Ahorros</t>
  </si>
  <si>
    <t>Desembolso de Creditos Transitoria</t>
  </si>
  <si>
    <t>FONDOS SOCIALES, MUTUALES Y OTROS</t>
  </si>
  <si>
    <t>FONDO SOCIAL DE  SOLIDARIDAD</t>
  </si>
  <si>
    <t>261005 a 261098</t>
  </si>
  <si>
    <t>Fondo Social de Solidaridad</t>
  </si>
  <si>
    <t>FONDO BIENESTAR SOCIAL</t>
  </si>
  <si>
    <t>Fondo Bienestar General</t>
  </si>
  <si>
    <t xml:space="preserve">FONDO SOCIAL PARA OTROS FINES </t>
  </si>
  <si>
    <t>INTERESES SOBRE CESANTIAS</t>
  </si>
  <si>
    <t>Intereses a las Cesantias</t>
  </si>
  <si>
    <t>Vacaciones</t>
  </si>
  <si>
    <t>INGRESOS ANTICIPADOS</t>
  </si>
  <si>
    <t>Intereses Anticipado</t>
  </si>
  <si>
    <t>INGRESOS RECIBIDOS PARA TERCEROS</t>
  </si>
  <si>
    <t xml:space="preserve">ABONOS PARA APLICAR A OBLIGACIONES </t>
  </si>
  <si>
    <t>Abonos Para Aplicar a Obligaciones</t>
  </si>
  <si>
    <t>CERTIFICADOS DE AHORRO A TÉRMINO</t>
  </si>
  <si>
    <t>Provision Intereses CDAT</t>
  </si>
  <si>
    <t>DEPOSITOS DE AHORROS CONTRACTUAL</t>
  </si>
  <si>
    <t>Provision Intereses Ahorro Contractual</t>
  </si>
  <si>
    <t>Provision Intereses Ahorro Permanente</t>
  </si>
  <si>
    <t>Cesantías</t>
  </si>
  <si>
    <t>CAPITAL SOCIAL</t>
  </si>
  <si>
    <t xml:space="preserve">APORTES ORDINARIOS </t>
  </si>
  <si>
    <t xml:space="preserve">RESERVAS </t>
  </si>
  <si>
    <t>RESERVA PROTECCIÓN DE APORTES</t>
  </si>
  <si>
    <t>Reserva proteccion de Aportes</t>
  </si>
  <si>
    <t>RESERVA PARA CAPITAL DE TRABAJO</t>
  </si>
  <si>
    <t>Reserva Para Capital De Trabajo</t>
  </si>
  <si>
    <t>FONDOS DE DESTINACION ESPECÍFICA</t>
  </si>
  <si>
    <t>FONDO SOCIALES CAPITALIZADOS</t>
  </si>
  <si>
    <t>Fondo Social Capitalizados</t>
  </si>
  <si>
    <t>Inversiones en Acciones</t>
  </si>
  <si>
    <t xml:space="preserve">OTROS FONDOS  </t>
  </si>
  <si>
    <t xml:space="preserve">OTROS FONDOS </t>
  </si>
  <si>
    <t>Fondo para Imprevistos</t>
  </si>
  <si>
    <t>Fondo de Libre Inversion</t>
  </si>
  <si>
    <t xml:space="preserve">INGRESOS </t>
  </si>
  <si>
    <t>INTERESES CREDITOS CONSUMO</t>
  </si>
  <si>
    <t>Consumo Intereses Corrientes</t>
  </si>
  <si>
    <t>Consumo Intereses Moratorios</t>
  </si>
  <si>
    <t>INTERESES FONDO DE LIQUIDEZ</t>
  </si>
  <si>
    <t>Intereses fondo de liquidez</t>
  </si>
  <si>
    <t xml:space="preserve">OTROS INGRESOS DE SERVICIO DE CREDITO </t>
  </si>
  <si>
    <t>Otros ingresos de creditos</t>
  </si>
  <si>
    <t>Intereses varios generados al corte</t>
  </si>
  <si>
    <t>GASTOS</t>
  </si>
  <si>
    <t>Sueldos</t>
  </si>
  <si>
    <t>Auxilio de Transporte</t>
  </si>
  <si>
    <t>Intereses sobre Cesantías</t>
  </si>
  <si>
    <t>PRIMA DE SERVICIOS</t>
  </si>
  <si>
    <t>Prima Legal</t>
  </si>
  <si>
    <t>AUXILIOS</t>
  </si>
  <si>
    <t>Auxilios empleados</t>
  </si>
  <si>
    <t>Capacitacion al Personal</t>
  </si>
  <si>
    <t>APORTES SALUD</t>
  </si>
  <si>
    <t>Entidades Promotoras de Salud</t>
  </si>
  <si>
    <t>APORTES PENSION</t>
  </si>
  <si>
    <t>Fondos Administradores de Pensiones</t>
  </si>
  <si>
    <t>Administradoras de Riesgos Profesionales</t>
  </si>
  <si>
    <t>APORTES CAJAS DE COMPENSACION FAMILIAR</t>
  </si>
  <si>
    <t>Caja de Compensación</t>
  </si>
  <si>
    <t>Instituto Colombiano de Bienestar Familiar</t>
  </si>
  <si>
    <t>SENA</t>
  </si>
  <si>
    <t>Servicio Nacional de Aprendizaje</t>
  </si>
  <si>
    <t xml:space="preserve">GASTOS  GENERALES </t>
  </si>
  <si>
    <t>Honorarios</t>
  </si>
  <si>
    <t xml:space="preserve">IMPUESTOS </t>
  </si>
  <si>
    <t>Impuestos</t>
  </si>
  <si>
    <t xml:space="preserve">ARRENDAMIENTOS </t>
  </si>
  <si>
    <t>Arrendamientos</t>
  </si>
  <si>
    <t>MANTENIMIENTO Y REPARACIONES</t>
  </si>
  <si>
    <t>Mantenimiento y Reparaciones</t>
  </si>
  <si>
    <t>CUOTAS DE ADMINISTRACION</t>
  </si>
  <si>
    <t>Cuotas de administracion</t>
  </si>
  <si>
    <t xml:space="preserve">ASEO Y ELEMENTOS </t>
  </si>
  <si>
    <t>Aseo y Elementos</t>
  </si>
  <si>
    <t>Cafetería</t>
  </si>
  <si>
    <t xml:space="preserve">SERVICIOS PUBLICOS  </t>
  </si>
  <si>
    <t>Servicios Públicos</t>
  </si>
  <si>
    <t>PORTES, CABLES, FAX Y TELEX</t>
  </si>
  <si>
    <t>Portes, Cables, Fax y Telex</t>
  </si>
  <si>
    <t>TRANSPORTE,  FLETES Y ACARREOS</t>
  </si>
  <si>
    <t>Transporte Fletes y Acarreos</t>
  </si>
  <si>
    <t>PAPELERIA Y UTILES DE OFICINA</t>
  </si>
  <si>
    <t>Papelería y Utiles de Oficina</t>
  </si>
  <si>
    <t>Publicidad y Propaganda</t>
  </si>
  <si>
    <t xml:space="preserve">GASTOS DE ASAMBLEA </t>
  </si>
  <si>
    <t>Gastos de Asamblea</t>
  </si>
  <si>
    <t>Gastos de Directivos</t>
  </si>
  <si>
    <t xml:space="preserve">SERVICIOS TEMPORALES </t>
  </si>
  <si>
    <t>Servicios Temporales</t>
  </si>
  <si>
    <t>CUOTAS DE SOSTENIMIENTO</t>
  </si>
  <si>
    <t xml:space="preserve">PROVISIONES </t>
  </si>
  <si>
    <t>CREDITOS  CONSUMO</t>
  </si>
  <si>
    <t>Consumo Provision</t>
  </si>
  <si>
    <t>PROVISION GENERAL DE CARTERA</t>
  </si>
  <si>
    <t>Provision General de Cartera</t>
  </si>
  <si>
    <t xml:space="preserve">CUENTAS POR COBRAR </t>
  </si>
  <si>
    <t>Provisión Interés Corriente</t>
  </si>
  <si>
    <t>AMORTIZACION Y AGOTAMIENTO</t>
  </si>
  <si>
    <t>INTANGIBLES</t>
  </si>
  <si>
    <t>Equipo de Computo y Comunicaciones</t>
  </si>
  <si>
    <t xml:space="preserve">GASTOS FINANCIEROS </t>
  </si>
  <si>
    <t>Gastos Bancarios</t>
  </si>
  <si>
    <t>CIFIN</t>
  </si>
  <si>
    <t>IVA COMISIONES</t>
  </si>
  <si>
    <t>COBRO FACTURACION</t>
  </si>
  <si>
    <t xml:space="preserve">IMPUESTO 3X1000 </t>
  </si>
  <si>
    <t>Grvámen a Movimientos Financieros</t>
  </si>
  <si>
    <t xml:space="preserve">COSTOS DE VENTAS </t>
  </si>
  <si>
    <t>INTERESES DEPOSITOS DE AHORRO A TÉRMINO</t>
  </si>
  <si>
    <t>Intereses Depósito de Ahorro a Término</t>
  </si>
  <si>
    <t>INTERESES AHORRO CONTRACTUAL</t>
  </si>
  <si>
    <t>Intereses Ahorro Contractual</t>
  </si>
  <si>
    <t xml:space="preserve">SERVICIO  DE CREDITO </t>
  </si>
  <si>
    <t>Intereses Ahorro Permanente</t>
  </si>
  <si>
    <t>INTERESES CREDITOS BANCARIOS Y FINANCIEROS</t>
  </si>
  <si>
    <t>Intereses Creditos Bancarios Y Financier</t>
  </si>
  <si>
    <t>CUENTAS DE ORDEN DEUDORAS</t>
  </si>
  <si>
    <t xml:space="preserve">DEUDORAS CONTINGENTES </t>
  </si>
  <si>
    <t>INTERESES CARTERA DE CREDITO</t>
  </si>
  <si>
    <t xml:space="preserve">Consumo Corrientes Categoria C </t>
  </si>
  <si>
    <t xml:space="preserve">Consumo Mora Categoria C </t>
  </si>
  <si>
    <t>Consumo Corrientes Categoria D</t>
  </si>
  <si>
    <t>Consumo Mora Categoria D</t>
  </si>
  <si>
    <t>Consumo Corrientes Categoria E</t>
  </si>
  <si>
    <t>Consumo Mora Categoria E</t>
  </si>
  <si>
    <t>DEUDORAS CONTINGENTES POR CONTRA</t>
  </si>
  <si>
    <t>DEUDORAS CONTINGENTES POR EL CONTRARIO (CR)</t>
  </si>
  <si>
    <t>INTESES DE CREDITOS</t>
  </si>
  <si>
    <t>Deudoras Contingentes por Contra (CR)</t>
  </si>
  <si>
    <t>CUENTAS DE ORDEN ACREEDORAS</t>
  </si>
  <si>
    <t>ACREEDORAS CONTINGENTES</t>
  </si>
  <si>
    <t>BIENES Y VALORES RECIBIDOS EN GARANTIA  GARAN</t>
  </si>
  <si>
    <t>DE CREDITOS CONSUMO</t>
  </si>
  <si>
    <t>Consumo</t>
  </si>
  <si>
    <t>BIENES Y VALORES RECIBIDOS EN GARANTIA  OTRAS</t>
  </si>
  <si>
    <t>CREDITOS APROBADOS NO DESEMBOLSADOS</t>
  </si>
  <si>
    <t>CRÉDITOS APROBADOS NO DESEMBOLSADOS</t>
  </si>
  <si>
    <t>Creditos aprobados no desembolsados</t>
  </si>
  <si>
    <t>ACREEDORAS CONTINGENTES POR CONTRA</t>
  </si>
  <si>
    <t>ACREEDORAS CONTINGENTES POR CONTRA (DB)</t>
  </si>
  <si>
    <t>Créditos Aprobados no Desembolsados</t>
  </si>
  <si>
    <t>Garantías Admisibles</t>
  </si>
  <si>
    <t>PROVISION DE CUENTAS POR COBRAR</t>
  </si>
  <si>
    <t>CONSUMO GARANTIA ADM CATEGORIA A  LIBRANZA</t>
  </si>
  <si>
    <t>CREDITOS DE CONSUMO CON GARANTIA ADMISIBLE</t>
  </si>
  <si>
    <t>CONSUMO OTRAS GARANTIAS CATEG A SIN LIBRANZA</t>
  </si>
  <si>
    <t>CREDITOS DE CONSUMO CON OTRAS GARANTIAS SIN LIBRANZA</t>
  </si>
  <si>
    <t>CREDITOS DE CONSUMO CON OTRAS GARANTIASLIBRANZA</t>
  </si>
  <si>
    <t>ABONOS PARA APLICAR A OBLIGACIONES</t>
  </si>
  <si>
    <t>Aporte</t>
  </si>
  <si>
    <t>2014 Ajustado</t>
  </si>
  <si>
    <t>RUBROS</t>
  </si>
  <si>
    <t>SEGUR PROTECCION CARTERA</t>
  </si>
  <si>
    <t>COMPENSACION (EFECTO TASA MERCADO)</t>
  </si>
  <si>
    <t>PRESUPUESTO 2015</t>
  </si>
  <si>
    <t>Consumo Otras Garant Categoría B sin Libranza</t>
  </si>
  <si>
    <t>Consumo Moratorios Categoría C</t>
  </si>
  <si>
    <t>REINTEGRO PROVISION CARTERA DE CREDITO- CONSU</t>
  </si>
  <si>
    <t>Consumo Reintegro Provision</t>
  </si>
  <si>
    <t>trasportes q comercial</t>
  </si>
  <si>
    <t>provision int corriente</t>
  </si>
  <si>
    <t>intereses corrientes y hurto de cheques 1081776</t>
  </si>
  <si>
    <t>cifin</t>
  </si>
  <si>
    <t>julio noviemrbe diciembre</t>
  </si>
  <si>
    <t>g bancario</t>
  </si>
  <si>
    <t>PROVISION INTERESES CORRIENETS CRED CONSUMO</t>
  </si>
  <si>
    <t>LIBRANZAS</t>
  </si>
  <si>
    <t>Libranzas</t>
  </si>
  <si>
    <t xml:space="preserve">CONTRIBUCIONES Y AFILIACIONES </t>
  </si>
  <si>
    <t>Contribuciones y Afiliaciones</t>
  </si>
  <si>
    <t>2010-2014</t>
  </si>
  <si>
    <t xml:space="preserve">Promedio Fonrecar </t>
  </si>
  <si>
    <t>INDICADORES FINANCIEROS 2015</t>
  </si>
  <si>
    <t>Adecuacion oficina de Ecopetrol</t>
  </si>
  <si>
    <t>Provision de cartera vencida</t>
  </si>
  <si>
    <t>Consumo Otras Garant Categoría E sin Libranza</t>
  </si>
  <si>
    <t>PROYECTO IMPLEMENTACION NIIF</t>
  </si>
  <si>
    <t>FIJO</t>
  </si>
  <si>
    <t>SERVICIOS FUNERARIOS</t>
  </si>
  <si>
    <t>Servicios Funerarios</t>
  </si>
  <si>
    <t>Servicios licenciamiento y uso software</t>
  </si>
  <si>
    <t>Bonificaciones empleados</t>
  </si>
  <si>
    <t>CARLOS ARTURO RUEDA LANDERO</t>
  </si>
  <si>
    <t xml:space="preserve">                 CONTADOR TP 199967-T</t>
  </si>
  <si>
    <t>Cancelacion total de CDAT</t>
  </si>
  <si>
    <t>DOTACION Y SUMINISTRO A TRABAJADORES</t>
  </si>
  <si>
    <t>Dotacion y Suministro a Trabajadores</t>
  </si>
  <si>
    <t>Capacitacion Directivos</t>
  </si>
  <si>
    <t>GASTOS FONDO BIENESTAR SOCIAL</t>
  </si>
  <si>
    <t>Gastos Fondo Bienestar Social</t>
  </si>
  <si>
    <t>Saldos a jun 2014</t>
  </si>
  <si>
    <t>Saldos a jun 2015</t>
  </si>
  <si>
    <t xml:space="preserve">% de </t>
  </si>
  <si>
    <t>Particip.</t>
  </si>
  <si>
    <t>Crecimiento</t>
  </si>
  <si>
    <t>VARIABLES DE IMPACTO</t>
  </si>
  <si>
    <r>
      <t xml:space="preserve">Es la </t>
    </r>
    <r>
      <rPr>
        <b/>
        <sz val="11"/>
        <color indexed="60"/>
        <rFont val="Microsoft Tai Le"/>
        <family val="2"/>
      </rPr>
      <t xml:space="preserve">probabilidad </t>
    </r>
    <r>
      <rPr>
        <b/>
        <sz val="11"/>
        <color indexed="8"/>
        <rFont val="Microsoft Tai Le"/>
        <family val="2"/>
      </rPr>
      <t xml:space="preserve">de que una organización incurra en </t>
    </r>
    <r>
      <rPr>
        <b/>
        <sz val="11"/>
        <color indexed="60"/>
        <rFont val="Microsoft Tai Le"/>
        <family val="2"/>
      </rPr>
      <t>pérdidas</t>
    </r>
    <r>
      <rPr>
        <b/>
        <sz val="11"/>
        <color indexed="8"/>
        <rFont val="Microsoft Tai Le"/>
        <family val="2"/>
      </rPr>
      <t xml:space="preserve"> excesivas  por la venta de activos o descuentos inusuales que realice con el fin de disponer de recursos para cumplir con sus obligaciones.</t>
    </r>
  </si>
  <si>
    <t>Lo ideal es que la organización solidaria se apalanque preferentemente con su capital institucional y con  sus asociados, haciéndose la salvedad que una corrida  de asociados puede generar problemas de liquidez y hasta una disminución patrimonial.</t>
  </si>
  <si>
    <t>OBJETIVO</t>
  </si>
  <si>
    <t>&lt;=  83%</t>
  </si>
  <si>
    <t>&gt;=  18%</t>
  </si>
  <si>
    <t>&gt;=  3%</t>
  </si>
  <si>
    <t>&lt;=  51,19%</t>
  </si>
  <si>
    <t>Honorarios 11%</t>
  </si>
  <si>
    <t xml:space="preserve">SEGUROS </t>
  </si>
  <si>
    <t>Seguros</t>
  </si>
  <si>
    <t>FIJA</t>
  </si>
  <si>
    <t>Intereses cuentas de ahorro</t>
  </si>
  <si>
    <t>PROYECTO CAMBIO SOFTWARE</t>
  </si>
  <si>
    <t>PROVISION INTERESES</t>
  </si>
  <si>
    <t>ARRIENDO INMUEBLES</t>
  </si>
  <si>
    <t>PERIODO DICIEMBRE 2015-2014</t>
  </si>
  <si>
    <t>Fiduciaria de Occidente  Cartera Colectiva</t>
  </si>
  <si>
    <t xml:space="preserve">OBLIGACIONES LABORALES </t>
  </si>
  <si>
    <t>CESANTIAS CONSOLIDADAS</t>
  </si>
  <si>
    <t>Cesantias</t>
  </si>
  <si>
    <t>VACACIONES CONSOLIDADAS</t>
  </si>
  <si>
    <t>ACTIVO CORRIENTE</t>
  </si>
  <si>
    <t>NOTAS</t>
  </si>
  <si>
    <t>V.A</t>
  </si>
  <si>
    <t>Relat.</t>
  </si>
  <si>
    <t>A.V</t>
  </si>
  <si>
    <t>CREDITO DE CONSUMO CORTO PLAZO</t>
  </si>
  <si>
    <t>CUENTAS POR COBRAR PATRONALES</t>
  </si>
  <si>
    <t>TOTAL ACTIVO CORRIENTE</t>
  </si>
  <si>
    <t>ACTIVO NO CORRIENTE</t>
  </si>
  <si>
    <t>CREDITO DE CONSUMO A LARGO PLAZO</t>
  </si>
  <si>
    <t>TOTAL ACTIVO NO CORRIENTE</t>
  </si>
  <si>
    <t>EQ DE OFIC MUEBLES Y ENSERES</t>
  </si>
  <si>
    <t>EQUIPO DE PROCESAMIENTO DE DATOS</t>
  </si>
  <si>
    <t>DEPREC ACUMULADA</t>
  </si>
  <si>
    <t>TOTAL PROPIEDAD PLANTA Y EQUIPO</t>
  </si>
  <si>
    <t>TOTAL OTROS ACTIVOS</t>
  </si>
  <si>
    <t>TOTAL ACTIVOS</t>
  </si>
  <si>
    <t xml:space="preserve">P A S I V O </t>
  </si>
  <si>
    <t>PASIVO CORRIENTE</t>
  </si>
  <si>
    <t>DEPOSITOS AHORROS CONTRACTUAL</t>
  </si>
  <si>
    <t>RETENCIONES Y APORTE DE NOMINA</t>
  </si>
  <si>
    <t>FONDO DE GARANTIAS</t>
  </si>
  <si>
    <t>OBLIGACIONES LABORALES CONSOLIDADAS</t>
  </si>
  <si>
    <t>TOTAL PASIVO CORRIENTES</t>
  </si>
  <si>
    <t>PASIVO NO CORRIENTE</t>
  </si>
  <si>
    <t>DEPOSITOS AHORRO PERMANENTES</t>
  </si>
  <si>
    <t>TOTAL PASIVO NO CORRIENTES</t>
  </si>
  <si>
    <t>TOTAL PASIVOS</t>
  </si>
  <si>
    <t xml:space="preserve">P A T R I M O N I O </t>
  </si>
  <si>
    <t>EXCEDENTES DEL PRESENTE EJERCICIO</t>
  </si>
  <si>
    <t>LILIANA M. GARAY CAPARROSO</t>
  </si>
  <si>
    <t>Gerente</t>
  </si>
  <si>
    <t>Revisor Fiscal  T.P. No. 32911-T</t>
  </si>
  <si>
    <t xml:space="preserve">Ver dictamen adjunto </t>
  </si>
  <si>
    <t>V.H</t>
  </si>
  <si>
    <t>% HORIZ.</t>
  </si>
  <si>
    <t>COSTOS</t>
  </si>
  <si>
    <t>TELEFONO E INTERNET</t>
  </si>
  <si>
    <t>DETALLE FIN ANO</t>
  </si>
  <si>
    <t>DEPRECIACIONES Y AMORTIZACIONES</t>
  </si>
  <si>
    <t>RECUPERACION DE CARTERA VENCIDA</t>
  </si>
  <si>
    <t>PROYECTO TARJETA DEBITO/CREDITO FONRECAR</t>
  </si>
  <si>
    <t>ESTADO DE FLUJO DE EFECTIVO COMPARATIVO</t>
  </si>
  <si>
    <t>ACTIVIDADES DE OPERACIÓN</t>
  </si>
  <si>
    <t>V .%</t>
  </si>
  <si>
    <t>(+)Excedentes</t>
  </si>
  <si>
    <t>Depreciaciones</t>
  </si>
  <si>
    <t>Recuperacion de deducciones</t>
  </si>
  <si>
    <t>Efectivo Generado en Operación</t>
  </si>
  <si>
    <t>Cambios en Partidas Operacionales</t>
  </si>
  <si>
    <t>(+)Diminución  (-)Aumento en Cuenta Deudores</t>
  </si>
  <si>
    <t>(+)Disminucion (-)Aumento en otros activos</t>
  </si>
  <si>
    <t>(+)Aumento (-)Disminucion Pasivo Corriente</t>
  </si>
  <si>
    <t>Excedentes Utilizados</t>
  </si>
  <si>
    <t>Total efectivo en otras actividades de Operación</t>
  </si>
  <si>
    <t>Efectivo neto usado en actividades de Operación</t>
  </si>
  <si>
    <t>ACTIVIDADES DE INVERSION</t>
  </si>
  <si>
    <t>Fondos especiales fiduciarios</t>
  </si>
  <si>
    <t xml:space="preserve">Inversiones </t>
  </si>
  <si>
    <t>Inversiones Fondo Liquidez</t>
  </si>
  <si>
    <t>(-) Adquisición Prop. Planta y Equipo</t>
  </si>
  <si>
    <t>Flujo  de Efectivo  neto en actividades de Inversión</t>
  </si>
  <si>
    <t>ACTIVIDADES DE FINANCIACION</t>
  </si>
  <si>
    <t>Pago  Obligaciones  a Largo Plazo</t>
  </si>
  <si>
    <t xml:space="preserve">Reserva protección de Aportes </t>
  </si>
  <si>
    <t>Aportes sociales</t>
  </si>
  <si>
    <t>Ahorros permanentes</t>
  </si>
  <si>
    <t>Flujo de Efectivo neto  en actividades de Financiación</t>
  </si>
  <si>
    <t>TOTAL EFECTIVO  GENERADO EN EL AÑO</t>
  </si>
  <si>
    <t>Efectivo a Dic 31 año anterior</t>
  </si>
  <si>
    <t>Efectivo a Dic 31 año actual</t>
  </si>
  <si>
    <t>(+)Aumento o (-)Disminucion efectivo</t>
  </si>
  <si>
    <t>ESTADO DE CAMBIOS EN LA SITUACION FIANANCIERA COMPARATIVOS</t>
  </si>
  <si>
    <t>FUENTES</t>
  </si>
  <si>
    <t>V.R</t>
  </si>
  <si>
    <t>Total Generacion Interna de  Recursos</t>
  </si>
  <si>
    <t>OTRAS FUENTES</t>
  </si>
  <si>
    <t>Total Fuentes</t>
  </si>
  <si>
    <t>APLICACIONES</t>
  </si>
  <si>
    <t>Total Aplicaciones</t>
  </si>
  <si>
    <t>VARIACION DEL CAPITAL DE TRABAJO</t>
  </si>
  <si>
    <t>ANALISIS DE LOS CAMBIOS EN EL CAPITAL DE TRABAJO</t>
  </si>
  <si>
    <t>Aumento o Disminución del Activo Corriente</t>
  </si>
  <si>
    <t>Total Aumento o Disminución del Activo Corriente(A)</t>
  </si>
  <si>
    <t>Aumento o Disminución del Pasivo Corriente</t>
  </si>
  <si>
    <t>FONDO DE SOLIDARIDAD</t>
  </si>
  <si>
    <t>Total Aumento o Disminución del Pasivo Corriente(B)</t>
  </si>
  <si>
    <t>VARIACION DEL CAPITAL DE TRABAJO(A-B)</t>
  </si>
  <si>
    <t>ESTADO DE CAMBIOS EN EL PATRIMONIO COMPARATIVOS</t>
  </si>
  <si>
    <t xml:space="preserve">Saldo Inicial </t>
  </si>
  <si>
    <t>Aumento o disminución</t>
  </si>
  <si>
    <t>Saldo al final</t>
  </si>
  <si>
    <t>EXCEDENTES O PERDIDAS DEL PERIODO</t>
  </si>
  <si>
    <t>Contador Publico T.P No 199967-T</t>
  </si>
  <si>
    <t>(+)EXCEDENTES</t>
  </si>
  <si>
    <t>MAS (MENOS)</t>
  </si>
  <si>
    <t>PARTIDAS QUE NO AFECTAN EL CAPITAL DE TRABAJO</t>
  </si>
  <si>
    <t>RECUPERACION DE DEDUCCIONES</t>
  </si>
  <si>
    <t>AMORTIZACIÓN  DE INVERSIONES</t>
  </si>
  <si>
    <t>AUMENTO DE APORTES SOCIALES</t>
  </si>
  <si>
    <t>AHORROS PERMANENTES</t>
  </si>
  <si>
    <t>DISMINUCION DE OTROS ACTIVOS</t>
  </si>
  <si>
    <t>AUMENTO DE OBLIGACIONES FINANCIERAS</t>
  </si>
  <si>
    <t>DISMINUCION PROP.PLAN Y EQUIP</t>
  </si>
  <si>
    <t xml:space="preserve">TOTAL OTRAS FUENTES </t>
  </si>
  <si>
    <t>CARTERA CREDITO DE CONSUMO A LARGO PLAZO</t>
  </si>
  <si>
    <t>ADQUISICION ACTIVOS FIJOS</t>
  </si>
  <si>
    <t>DISMINUCION DE OBLIGACIONES FINANCIERAS</t>
  </si>
  <si>
    <t>AUMENTO DE OTROS ACTIVOS</t>
  </si>
  <si>
    <t>EXCEDENTES UTILIZADOS</t>
  </si>
  <si>
    <t>CARLOS A. RUEDA LANDERO</t>
  </si>
  <si>
    <t>AÑO 2016</t>
  </si>
  <si>
    <t>IMPLEMENTACION SGSS</t>
  </si>
  <si>
    <t>GASTO FONDO DE SOLIDARIDAD</t>
  </si>
  <si>
    <t>GASTO FONDO DE BIENESTAR SOCIAL</t>
  </si>
  <si>
    <t>EFECTIVO Y EQUIVALENTE AL EFECTIVO</t>
  </si>
  <si>
    <t>BANCOS Y OTRAS ENTIDADES FINANCIERAS</t>
  </si>
  <si>
    <t>EQUIVALENTES AL EFECTIVO (compromiso de pago)</t>
  </si>
  <si>
    <t>EFECTIVO RESTRINGIDO</t>
  </si>
  <si>
    <t>INVERSIONES EN ENTIDADES SUBSIDIARIAS</t>
  </si>
  <si>
    <t>INVERSIONES EN ENTIDADES ASOCIADAS</t>
  </si>
  <si>
    <t>INVERSIONES EN INSTRUMENTOS DE PATRIMONIO</t>
  </si>
  <si>
    <t>CARTERA DE CRÉDITOS</t>
  </si>
  <si>
    <t>DETERIORO CRÉDITOS DE CONSUMO (CR)</t>
  </si>
  <si>
    <t>DETERIORO INTERESES CREDITOS DE CONSUMO (CR)</t>
  </si>
  <si>
    <t>DETERIORO GENERAL DE CARTERA DE CRÉDITOS</t>
  </si>
  <si>
    <t>CRÉDITOS A EMPLEADOS</t>
  </si>
  <si>
    <t>INTERESES CRÉDITOS A EMPLEADOS</t>
  </si>
  <si>
    <t>CUENTAS POR COBRAR Y OTRAS</t>
  </si>
  <si>
    <t>ANTICIPOS</t>
  </si>
  <si>
    <t>ACTIVOS MATERIALES</t>
  </si>
  <si>
    <t>PROPIEDAD, PLANTA Y EQUIPO</t>
  </si>
  <si>
    <t>ACTIVOS INTANGIBLES DISTINTOS DE LA PLUSVALIA</t>
  </si>
  <si>
    <t>DEPOSITOS DE AHORRO CONTRACTUAL</t>
  </si>
  <si>
    <t>CRÉDITOS DE BANCOS Y OTRAS OBLIGACIONES FINAN</t>
  </si>
  <si>
    <t>CREDITOS ORDINARIOS LARGO PLAZO</t>
  </si>
  <si>
    <t>CUENTAS POR PAGAR Y OTRAS</t>
  </si>
  <si>
    <t>VALORES POR REINTEGRAR</t>
  </si>
  <si>
    <t>RETENCIONES Y APORTES LABORALES</t>
  </si>
  <si>
    <t>EXIGIBILIDADES POR SERVICIOS DE RECAUDO</t>
  </si>
  <si>
    <t>FONDOS SOCIALES Y MUTUALES</t>
  </si>
  <si>
    <t>FONDO MUTUAL PARA OTROS FINES</t>
  </si>
  <si>
    <t>PROVISION EN OPERACIONES CONJUNTAS</t>
  </si>
  <si>
    <t>RESERVAS</t>
  </si>
  <si>
    <t>FONDOS DE DESTINACIÓN ESPECÍFICA</t>
  </si>
  <si>
    <t>FONDO PARA AMORTIZACION DE APORTES</t>
  </si>
  <si>
    <t>OTROS FONDOS</t>
  </si>
  <si>
    <t>EXCEDENTES Y/O PÉRDIDAS ACUMULADOS</t>
  </si>
  <si>
    <t>EXCEDENTES</t>
  </si>
  <si>
    <t>Cuenta</t>
  </si>
  <si>
    <t>Saldo Cierre/2016</t>
  </si>
  <si>
    <t>FONDO DESARROLLO EMPRESARIAL SOLIDARIO</t>
  </si>
  <si>
    <t>NIT 890.400.186-7</t>
  </si>
  <si>
    <t xml:space="preserve">APORTES SOCIALES </t>
  </si>
  <si>
    <t>V. R</t>
  </si>
  <si>
    <t>ESTADO DE SITUACION FINANCIERA COMPARATIVO</t>
  </si>
  <si>
    <t>OBLIGACIONES LABORALES POR BENEFICIOS A EMPLEADOS</t>
  </si>
  <si>
    <t>CREDITOS DE CONSUMO, OTRAS GARANTIAS - CON LIBRANZA</t>
  </si>
  <si>
    <t>CREDITOS DE CONSUMO, GARANTIA ADMISIBLE - CON LIBRANZA</t>
  </si>
  <si>
    <t>CREDITOS DE CONSUMO, OTRAS GARANTIAS - SIN LIBRANZA</t>
  </si>
  <si>
    <t>ESTADO DE RESULTADOS CONSOLIDADO FONRECAR-INVERSIONES FONRECAR S.A.S</t>
  </si>
  <si>
    <t>PERIODO ENERO 01  A DICIEMBRE 31 DE 2016</t>
  </si>
  <si>
    <t>INCAPACIDADES Y/O LICENCIAS PAGADAS</t>
  </si>
  <si>
    <t>PERDIDAD FILIAL INVERSIONES FONRECAR S.A.S</t>
  </si>
  <si>
    <t>como iniciamos y como cerramos niff 2015</t>
  </si>
  <si>
    <t>31 di 2015 bajo locales</t>
  </si>
  <si>
    <t>comparando</t>
  </si>
  <si>
    <t xml:space="preserve">31 diciembre 2015 niif  </t>
  </si>
  <si>
    <t>hacer aclaracion que los demas eeff estan derogados</t>
  </si>
  <si>
    <t>eeff 2015 niff , dindicar transicion</t>
  </si>
  <si>
    <t>eeff  12 31 2016</t>
  </si>
  <si>
    <t>11</t>
  </si>
  <si>
    <t>Saldo Cierre/2015 TRANSICION</t>
  </si>
  <si>
    <t>esfa  1 enero 2015</t>
  </si>
  <si>
    <t>resiltado adopcion niif va a ser siempre db y cred</t>
  </si>
  <si>
    <t>hoja donde esten los ajustes</t>
  </si>
  <si>
    <t>abrir ctacta adppcion por niif, llevar nota en los eeff</t>
  </si>
  <si>
    <t>AÑO 2017</t>
  </si>
  <si>
    <t>AHORRO A LA VISTA</t>
  </si>
  <si>
    <t>Corte  Diciembre 31 de 2017-2016</t>
  </si>
  <si>
    <t>8</t>
  </si>
  <si>
    <t>9</t>
  </si>
  <si>
    <t>NOTAS 10</t>
  </si>
  <si>
    <t>3.1</t>
  </si>
  <si>
    <t>BANCOS Y OTRAS ENTIDADES FINANCIEROS</t>
  </si>
  <si>
    <t>INVERSIONES EN INSTRUMENTO FINANCIERO</t>
  </si>
  <si>
    <t>FONDO SOCIALES Y MUTUALES</t>
  </si>
  <si>
    <t>3.2</t>
  </si>
  <si>
    <t>3.3</t>
  </si>
  <si>
    <t>3.4</t>
  </si>
  <si>
    <t>3.5</t>
  </si>
  <si>
    <t>3.6</t>
  </si>
  <si>
    <t>3.7</t>
  </si>
  <si>
    <t>ACTIVOS INTANGIBLES DISTINTOS A LA PLUSVALIA</t>
  </si>
  <si>
    <t>3.8</t>
  </si>
  <si>
    <t>4.1</t>
  </si>
  <si>
    <t>4.2</t>
  </si>
  <si>
    <t>4.3</t>
  </si>
  <si>
    <t>4.4</t>
  </si>
  <si>
    <t>5.1</t>
  </si>
  <si>
    <t>5.2</t>
  </si>
  <si>
    <t>5.3</t>
  </si>
  <si>
    <t>5.4</t>
  </si>
  <si>
    <t>ESTADO DE SITUACION FINANCIERA  CONSOLIDADO FONRECAR-INVERSIONES FONRECAR S.A.S</t>
  </si>
  <si>
    <t>RENDIMIENTOS FONDO DE LUQUIDEZ Y CTAS AHORRO</t>
  </si>
  <si>
    <t>ESTADO DE RESULTADOS INTEGRAL</t>
  </si>
  <si>
    <t>ESTADO DE RESULTADOS INTEGRAL CONSOLIDADO FONRECAR-INVERSIONES FONRECAR S.A.S</t>
  </si>
  <si>
    <t>Ingresos servicio de credito</t>
  </si>
  <si>
    <t xml:space="preserve">ESTADO DE RESULTADO INTEGRAL Y GANANCIAS ACUMULADAS </t>
  </si>
  <si>
    <t>Total ingreso servicio de credito</t>
  </si>
  <si>
    <t>OTROS INGRESOS</t>
  </si>
  <si>
    <t xml:space="preserve">Otros ingresos </t>
  </si>
  <si>
    <t>Total otros ingresos</t>
  </si>
  <si>
    <t>Beneficio a empleados</t>
  </si>
  <si>
    <t>Costos generales</t>
  </si>
  <si>
    <t>Deterioro cartera</t>
  </si>
  <si>
    <t>Amortizacion y agotamiento</t>
  </si>
  <si>
    <t>Depreciacion propiedad, planta y equipo.</t>
  </si>
  <si>
    <t>Total gastos de administracion</t>
  </si>
  <si>
    <t>Gastos financieros</t>
  </si>
  <si>
    <t>OTROS GASTOS</t>
  </si>
  <si>
    <t>Total otros gastos</t>
  </si>
  <si>
    <t>COSTO DE VENTAS PRESTACION DE SERVICIOS</t>
  </si>
  <si>
    <t>Intereses de depositos y de creditos bancarios</t>
  </si>
  <si>
    <t>Total costo de ventas</t>
  </si>
  <si>
    <t>Contador  T.P No 199967-T</t>
  </si>
  <si>
    <t>Contador T.P No 199967-T</t>
  </si>
  <si>
    <t>Banco de Bogota  Cta Cte 7869</t>
  </si>
  <si>
    <t>Banco Cooperativo CoopCentral CtaAho 43100046</t>
  </si>
  <si>
    <t>Banco de Bogotá Cta Ah 6112</t>
  </si>
  <si>
    <t>Banco Coopcentral F Liquidez 431000537</t>
  </si>
  <si>
    <t>Consumo Otras Garant Categoría C sin Libranza</t>
  </si>
  <si>
    <t>OTROS ANTICIPOS</t>
  </si>
  <si>
    <t>Otros Anticipos</t>
  </si>
  <si>
    <t>ADELANTOS AL PERSONAL</t>
  </si>
  <si>
    <t>ANTICIPOS LABORALES</t>
  </si>
  <si>
    <t>Anticipos Laborales</t>
  </si>
  <si>
    <t>Cuota de Manejo Tarjeta Afinidad</t>
  </si>
  <si>
    <t xml:space="preserve">OTRAS </t>
  </si>
  <si>
    <t>Otras Cuentas por Cobrar</t>
  </si>
  <si>
    <t>Utilizaciones Tarjeta Afinidad</t>
  </si>
  <si>
    <t>DEPOSITOS DE AHORRO</t>
  </si>
  <si>
    <t>ORDINARIOS ACTIVAS</t>
  </si>
  <si>
    <t>Ahorro a la Vista</t>
  </si>
  <si>
    <t>BANCOS COOPERATIVOS</t>
  </si>
  <si>
    <t>Bancos Cooperativos</t>
  </si>
  <si>
    <t>SOBRE DEPÓSITOS DE AHORROS</t>
  </si>
  <si>
    <t>Sobre Depósitos de Ahorro</t>
  </si>
  <si>
    <t>Comisiones 11%</t>
  </si>
  <si>
    <t>Servicios Restaurantes 3.5%</t>
  </si>
  <si>
    <t>Compras en General 3.5%</t>
  </si>
  <si>
    <t>264805 a 264898</t>
  </si>
  <si>
    <t>Fondo Fodes</t>
  </si>
  <si>
    <t>APORTES A.R.P.</t>
  </si>
  <si>
    <t xml:space="preserve">APORTES I.C.B.F. </t>
  </si>
  <si>
    <t>Gastos Legales</t>
  </si>
  <si>
    <t>GASTOS FONDOS SOLIDARIDAD</t>
  </si>
  <si>
    <t>Gastos Fondo de Solidaridad</t>
  </si>
  <si>
    <t>Implementacion SGSS</t>
  </si>
  <si>
    <t>Proyectos financieros varios</t>
  </si>
  <si>
    <t>Gasto desarrollo actividad social</t>
  </si>
  <si>
    <t>Proyecto tarjeta afinidad</t>
  </si>
  <si>
    <t>Detalle fin de año asociados</t>
  </si>
  <si>
    <t>ahorro a la vista</t>
  </si>
  <si>
    <t>DEUDORAS DE CONTROL</t>
  </si>
  <si>
    <t>ACTIVOS CASTIGADOS</t>
  </si>
  <si>
    <t>CARTERA DE CRÉDITO</t>
  </si>
  <si>
    <t>Creditos Castigados - Capital</t>
  </si>
  <si>
    <t>Creditos Castigados - Interes Corriente</t>
  </si>
  <si>
    <t>Creditos Castigados - Mora</t>
  </si>
  <si>
    <t>Intereses Corrientes en Cuentas de Orden</t>
  </si>
  <si>
    <t>Intereses de Mora en Cuentas de Orden</t>
  </si>
  <si>
    <t>DEUDORAS DE CONTROL POR CONTRA</t>
  </si>
  <si>
    <t>ACTIVOS CASTIGADOS POR CONTRA</t>
  </si>
  <si>
    <t>Cartera de Crédito por Contra</t>
  </si>
  <si>
    <t>Cuentas por Cobrar</t>
  </si>
  <si>
    <t>INTERESES AHORRO A LA VISTA</t>
  </si>
  <si>
    <t>OK</t>
  </si>
  <si>
    <t>DETERIORO CARTERA</t>
  </si>
  <si>
    <t>Deudoras de Control por Contra</t>
  </si>
  <si>
    <t>PROVISION DEUDORAS PATRONALES</t>
  </si>
  <si>
    <t>INGRESO POR PAGO INCAPACIDADES-LICENCIAS</t>
  </si>
  <si>
    <t>DETERIORO CUENTAS POR COBRAR</t>
  </si>
  <si>
    <t xml:space="preserve">FONDO DE LIQUIDEZ - CERTIFICADOS DE AHORRO A </t>
  </si>
  <si>
    <t>Otras Inveriones</t>
  </si>
  <si>
    <t>Proyecto sistematizacion</t>
  </si>
  <si>
    <t>Ver dictamen adjunto  Original Firmado</t>
  </si>
  <si>
    <t>4.5</t>
  </si>
  <si>
    <t>12</t>
  </si>
  <si>
    <t>PROVISIONES LEGALES</t>
  </si>
  <si>
    <t>CREDITOS ORDINARIOS CORTO PLAZO</t>
  </si>
  <si>
    <t>LOTERIAS, RIFAS, APUESTAS Y SIMILARES</t>
  </si>
  <si>
    <t>Loterias, rifas, apuestas y similares.</t>
  </si>
  <si>
    <t>IMPUESTO DE INDUSTRIA Y COMERCIO RETENIDO</t>
  </si>
  <si>
    <t>244805 a 244898</t>
  </si>
  <si>
    <t>Industria y Comercio Retenido Compras</t>
  </si>
  <si>
    <t>Industria y comercio retenido Servicios</t>
  </si>
  <si>
    <t>Recaudo por convenios comerciales</t>
  </si>
  <si>
    <t>Por incapacidades</t>
  </si>
  <si>
    <t>INDEMNIZACIONES LABORALES</t>
  </si>
  <si>
    <t>Indemnizaciones Laborales</t>
  </si>
  <si>
    <t>Consumo Garantia Real</t>
  </si>
  <si>
    <t>FONDO DE EMPLEADOS DEL SECTOR INDUSTRIAL, TURISTICO, COMERCIAL Y DE SERVICIOS</t>
  </si>
  <si>
    <t>DETERIORO CUENTAS POR COBRAR INTERESES</t>
  </si>
  <si>
    <t>Revisor Fiscal  T.P. No. 134514-T</t>
  </si>
  <si>
    <t>LUIS RICARDO PIEDRAHITA MARTINEZ</t>
  </si>
  <si>
    <t>Saldo Cierre/2021</t>
  </si>
  <si>
    <t>Cifras expresadas en Pesos Colombianos</t>
  </si>
  <si>
    <t>5.5</t>
  </si>
  <si>
    <t>incapacidades</t>
  </si>
  <si>
    <t>Delegado por: ESTRATEGIA 2S SAS</t>
  </si>
  <si>
    <t>DETERIORO INDIVIDUAL CARTERA DE CREDITOS</t>
  </si>
  <si>
    <t>C.D.A.T  EMITIDOS MAYOR 12 MESES</t>
  </si>
  <si>
    <t>(Aumento)</t>
  </si>
  <si>
    <t>UTILIDAD FILIAL INVERSIONES FONRECAR S.A.S</t>
  </si>
  <si>
    <t>Banco CoopCentral CtaCorriente 231000579</t>
  </si>
  <si>
    <t>INVERSIONES CONTABILIZADAS POR EL METODO DE P</t>
  </si>
  <si>
    <t>INVERSIONES FONRECAR</t>
  </si>
  <si>
    <t>CRÉDITOS DE CONSUMO - CON LIBRANZA</t>
  </si>
  <si>
    <t>CRÉDITOS DE CONSUMO - SIN LIBRANZA</t>
  </si>
  <si>
    <t>Comisiones por cobrar - Red Coopcentral</t>
  </si>
  <si>
    <t xml:space="preserve">EMITIDOS IGUAL O SUPERIOR DE 18 MESES </t>
  </si>
  <si>
    <t>Emitidos Igual o Superior de 18 Meses</t>
  </si>
  <si>
    <t>DEPOSITOS A LARGO PLAZO - ACTIVAS</t>
  </si>
  <si>
    <t>Ahorro Contractual Largo Plazo</t>
  </si>
  <si>
    <t>Bancos Comerciales</t>
  </si>
  <si>
    <t>CREDITOS ORDINARIOS  LARGO PLAZO</t>
  </si>
  <si>
    <t>ENTIDADES DEL SECTOR SOLIDARIO</t>
  </si>
  <si>
    <t>Entidades del Sector Solidario</t>
  </si>
  <si>
    <t>SOBRE DEPÓSITOS DE AHORRO CONTRACTUAL</t>
  </si>
  <si>
    <t>Sobre Depósitos de Ahorro Contractual</t>
  </si>
  <si>
    <t>Transitoria de movimientos - Red Coopcentral</t>
  </si>
  <si>
    <t>POR INVERSIONES EN SUBSIDIARIAS, ASOCIADAS, O</t>
  </si>
  <si>
    <t>POR INVERSIONES EN SUBSIDIARIAS, ASOCIADAS</t>
  </si>
  <si>
    <t>Utilidad Inversiones Fonrecar</t>
  </si>
  <si>
    <t>POR REVALUACION DE ACTIVOS POR DERECHO DE USO</t>
  </si>
  <si>
    <t>POR REVALUACIÓN DE PROPIEDAD, PLANTA Y EQUIPO</t>
  </si>
  <si>
    <t>Intereses Credito Empleados</t>
  </si>
  <si>
    <t>Ingresos Interes moratorio Credito Empleados</t>
  </si>
  <si>
    <t>POR INCAPACIDADES.</t>
  </si>
  <si>
    <t>APORTES SOCIALES NO REDUCIBLES</t>
  </si>
  <si>
    <t>APORTES SOCIALES ORDINARIOS</t>
  </si>
  <si>
    <t>UTILIDAD EMPRESA FILIAL</t>
  </si>
  <si>
    <t>MULTAS</t>
  </si>
  <si>
    <t xml:space="preserve">POR REVALUACION DE ACTIVOS </t>
  </si>
  <si>
    <t>Corte Diciembre 31 de 2022-2021</t>
  </si>
  <si>
    <t>CLIENTES</t>
  </si>
  <si>
    <t>UTILIDADES ACUMULADAS</t>
  </si>
  <si>
    <t>INTERESES DEPOSITOS</t>
  </si>
  <si>
    <t xml:space="preserve"> Saldo Cierre/2022</t>
  </si>
  <si>
    <t>INVERSIONES DE PATRIMONIO COSTO HISTORICO</t>
  </si>
  <si>
    <t>INVERSIONES METODO DE PARTICIPACION PATRIMONIAL</t>
  </si>
  <si>
    <t>APORTES SOCIALES TEMPORALMENTE RESTRINGIDOS</t>
  </si>
  <si>
    <t>5.6</t>
  </si>
  <si>
    <t>INTERESES RECONOCIDOS POR DEPOSITOS</t>
  </si>
  <si>
    <t>OBLIGACIONES FINANCIERAS CORTO PLAZO</t>
  </si>
  <si>
    <t>CREDITOS CORTO PLAZO</t>
  </si>
  <si>
    <t>OBLIGACIONES FINANCIERAS LARGO PLAZO</t>
  </si>
  <si>
    <t>Total Gasto duncionamiento</t>
  </si>
  <si>
    <t>Eliminacion</t>
  </si>
  <si>
    <t>Ajustes</t>
  </si>
  <si>
    <t>ESTADO DE FLUJO DE EFECTIVO COMPARATIVO CONSOLIDADO FONRECAR-INVERSIONES FONRECAR SAS</t>
  </si>
  <si>
    <t>Mas partidas que no afectan el capital de trabajo</t>
  </si>
  <si>
    <t>(+) Aumento Excedentes Utilizados</t>
  </si>
  <si>
    <t>(+) Aumento Inversiones Fondo Liquidez</t>
  </si>
  <si>
    <t>(-) Disminucion Adquisición Prop. Planta y Equipo</t>
  </si>
  <si>
    <t xml:space="preserve">(+) Aumento Reserva protección de Aportes </t>
  </si>
  <si>
    <t>(+) Aumento Aportes sociales</t>
  </si>
  <si>
    <t>(+) AumentoAhorros permanentes</t>
  </si>
  <si>
    <t>(-) Disminucion Recuperacion de deducciones</t>
  </si>
  <si>
    <t>(+) Aumento Excedentes</t>
  </si>
  <si>
    <t>(+) Aumento Depreciaciones</t>
  </si>
  <si>
    <t>AÑO 2023</t>
  </si>
  <si>
    <t>Skandia Fondo de inversion colec 242090363</t>
  </si>
  <si>
    <t xml:space="preserve">TITULOS EMITIDOS POR ENTIDADES VIGILADAS POR </t>
  </si>
  <si>
    <t>Cooperativas</t>
  </si>
  <si>
    <t>Entidades sin Animo de Lucro</t>
  </si>
  <si>
    <t>ANTICIPO DE IMPUESTOS</t>
  </si>
  <si>
    <t>IMPUESTO A LAS VENTAS RETENIDO</t>
  </si>
  <si>
    <t>Anticipo de Impuesto a las Ventas Retenido</t>
  </si>
  <si>
    <t>Servicios Pagados por Anticipado</t>
  </si>
  <si>
    <t>Licencia antivirus Micro Trend</t>
  </si>
  <si>
    <t xml:space="preserve">EMITIDOS  MENOS DE 6 MSES </t>
  </si>
  <si>
    <t>Emitidos Menos de 6 Meses</t>
  </si>
  <si>
    <t>CXP por Cancelacion y Retiro de Ahorros</t>
  </si>
  <si>
    <t>IMPUESTOS, GRAVÁMENES Y TASAS</t>
  </si>
  <si>
    <t>IMPUESTO A LAS VENTAS POR PAGAR</t>
  </si>
  <si>
    <t>251001 a 251098</t>
  </si>
  <si>
    <t>Impuesto a las Ventas por Pagar</t>
  </si>
  <si>
    <t>Proyecto de comunicaciones</t>
  </si>
  <si>
    <t>Comisiones asumidas - Red Coopcentral</t>
  </si>
  <si>
    <t>ANTICIPO IMPUESTOS</t>
  </si>
  <si>
    <t>DEPOSITOS CDAT DESDE 3 A 12 MESES</t>
  </si>
  <si>
    <t>OBLIGACIONES POR BENEFICIOS A EMPLEADOS</t>
  </si>
  <si>
    <t>FONDOS ESPECIALES FIDUCIA</t>
  </si>
  <si>
    <t>MEJORAS BIENES AJENOS</t>
  </si>
  <si>
    <t>GASTOS PAGADOS POR ANTICIPADO</t>
  </si>
  <si>
    <t>3.9</t>
  </si>
  <si>
    <t>ANTICIPO IMPUESTO A LAS VENTAS POR PAGAR</t>
  </si>
  <si>
    <t>PROYECTOS FORTALECIMIENTO AREA FINANCIERA</t>
  </si>
  <si>
    <t>PROYECTO COMUNICACIONES, PROTEC DATOS</t>
  </si>
  <si>
    <t>COMISIONES ASUMIDAS FONRECAR</t>
  </si>
  <si>
    <t>MANTENIMIUENTO SISTEMA SGSS</t>
  </si>
  <si>
    <t>15</t>
  </si>
  <si>
    <t>INVERSIONES EN SUBSIDIARIAS</t>
  </si>
  <si>
    <t xml:space="preserve">CODIGO </t>
  </si>
  <si>
    <t>DESCRIPCION DEL RENGLON</t>
  </si>
  <si>
    <t>Fonrecar 2023</t>
  </si>
  <si>
    <t>Inversiones Fonrecar 2023</t>
  </si>
  <si>
    <t>Combinacion Consolidacion Año 2023</t>
  </si>
  <si>
    <t>Combinacion Consolidacion Año 2022</t>
  </si>
  <si>
    <t>BANCOS Y OTRAS ENTIDADES CON ACTIVIDAD FINANCIERA</t>
  </si>
  <si>
    <t>EFECTIVO DE USO RESTRINGIDO Y/O CON DESTINACIàN ESPECÖFICA</t>
  </si>
  <si>
    <t>INVERSIONES CONTABILIZADAS A COSTO AMORTIZADO</t>
  </si>
  <si>
    <t>CARTERA DE CRDITOS</t>
  </si>
  <si>
    <t>DETERIORO CRDITOS DE CONSUMO (CR)</t>
  </si>
  <si>
    <t>PROTECCION GENERAL DE CARTERA DE CRDITOS (CR)</t>
  </si>
  <si>
    <t>CRDITOS A EMPLEADOS</t>
  </si>
  <si>
    <t>INTERESES CRDITOS A EMPLEADOS</t>
  </si>
  <si>
    <t>CONVENIOS POR COBRAR ( SERVICIOS MEDICOS, FUNERARIOS, SOAT, etc)</t>
  </si>
  <si>
    <t>DEUDORES POR VENTA DE BIENES</t>
  </si>
  <si>
    <t>DIVIDENDOS, PARTICIPACIONES Y RETORNOS</t>
  </si>
  <si>
    <t>AVANCES Y ANTICIPOS ENTREGADOS</t>
  </si>
  <si>
    <t>PROPIEDADES, PLANTA Y EQUIPO</t>
  </si>
  <si>
    <t>BIENES Y SERVICIOS PAGADOS POR ANTICIPADO</t>
  </si>
  <si>
    <t>ACTIVOS INTANGIBLES ADQUIRIDOS</t>
  </si>
  <si>
    <t>CERTIFICADOS DEPOSITOS DE AHORRO A TRMINO</t>
  </si>
  <si>
    <t>OBLIGACIONES FINANCIERAS Y OTROS PASIVOS FINANCIEROS</t>
  </si>
  <si>
    <t>COMISIONES Y HONORARIOS</t>
  </si>
  <si>
    <t>SEGURO DE DEPOSITO LIQUIDADO POR PAGAR</t>
  </si>
  <si>
    <t>IMPUESTO DIFERIDO PASIVO</t>
  </si>
  <si>
    <t>INGRESOS ANTICIPADOS - DIFERIDOS</t>
  </si>
  <si>
    <t>DEPOSITOS RECIBIDOS EN GARANTIA</t>
  </si>
  <si>
    <t>PROVISIONES POR GARANTÖAS</t>
  </si>
  <si>
    <t>APORTES SOCIALES MINIMOS NO REDUCIBLES</t>
  </si>
  <si>
    <t>RESERVA PROTECCIàN DE APORTES</t>
  </si>
  <si>
    <t>FONDOS DE DESTINACIàN ESPECÖFICA</t>
  </si>
  <si>
    <t>EXCEDENTES Y/O PRDIDAS DEL EJERCICIO</t>
  </si>
  <si>
    <t>RESULTADOS ACUMULADOS POR ADOPCIàN POR PRIMERA VEZ</t>
  </si>
  <si>
    <t>PRDIDAS (DB)</t>
  </si>
  <si>
    <t>OTRO RESULTADO INTEGRAL</t>
  </si>
  <si>
    <t>RESULTADOS DE EJERCICIOS ANTERIORES</t>
  </si>
  <si>
    <t>OTRAS INVERSIONES EN INSTRUMENTOS DE PATRIMONIO</t>
  </si>
  <si>
    <t>ACTIVOS POR IMPUESTOS CORRIENTES</t>
  </si>
  <si>
    <t>PASIVO POR IMPUESTOS CORRIENTES</t>
  </si>
  <si>
    <t>POR INVERSIONES EN SUBSIDIARIAS</t>
  </si>
  <si>
    <t xml:space="preserve">POR REVALUACIàN DE PROPIEDAD, PLANTA Y EQUIPO </t>
  </si>
  <si>
    <t>INVERSIONES CA VALOR RAZONABLE CON CAMBIOS EN EL ORI</t>
  </si>
  <si>
    <t>Consolidado 2023</t>
  </si>
  <si>
    <t>(+) Aumento en Cuenta Deudores o Disminucion</t>
  </si>
  <si>
    <t>DEPOSITOS CDT FONDO LIQUIDEZ</t>
  </si>
  <si>
    <t>DEPOSITOS CUENTAS AHORRO FONDO DE LIQUIDEZ</t>
  </si>
  <si>
    <t>DETERIORO GENERAL CARTERA CORTO PLAZO</t>
  </si>
  <si>
    <t>DETERIORO GENERAL CARTERA DE CREDITOS LARGO PLAZO</t>
  </si>
  <si>
    <t xml:space="preserve">INTERESES DE CREDITOS POR COBRAR </t>
  </si>
  <si>
    <t>CREDITO EMPLEADOS CONSUMO CORTO PLAZO</t>
  </si>
  <si>
    <t>CREDITO EMPLEADOS CONSUMO CLARGO PLAZO</t>
  </si>
  <si>
    <t>DEPOSITOS AHORRO A LA VISTA</t>
  </si>
  <si>
    <t>INTERESES DEPÓSITOS POR PAGAR CORTO PLAZO</t>
  </si>
  <si>
    <t>INTERESES DEPÓSITOS POR PAGAR LARGO PLAZO</t>
  </si>
  <si>
    <t>ESTADO DE SITUACION FINANCIERA COMPARATIVO CORTE 31 de 2024-2023</t>
  </si>
  <si>
    <t>AÑO 2024</t>
  </si>
  <si>
    <t>Costos Judiciales</t>
  </si>
  <si>
    <t>Servicio de transporte carga</t>
  </si>
  <si>
    <t>Servicios prestados por empresas de vigilanci</t>
  </si>
  <si>
    <t>Ica Retenido Servicios TafGe 8.56x1000</t>
  </si>
  <si>
    <t>EMBARGOS JUDICIALES</t>
  </si>
  <si>
    <t>Embargos Judiciales</t>
  </si>
  <si>
    <t>VALORES RECIBIDOS PARA TERCEROS</t>
  </si>
  <si>
    <t>Intereses derivados creditos asociados</t>
  </si>
  <si>
    <t>Intereses credito tomado a nombre de tercero</t>
  </si>
  <si>
    <t>Ley proteccion de datos</t>
  </si>
  <si>
    <t>COSTOS JUDICIALES</t>
  </si>
  <si>
    <t>Ejecutado DICIEMBRE 2024</t>
  </si>
  <si>
    <t>Corte Diciembre 31 de 2024-2023</t>
  </si>
  <si>
    <t>Mas (o Menos)partidas que no afectan el capital de trabajo</t>
  </si>
  <si>
    <t>Consolidado 2024</t>
  </si>
  <si>
    <t>Saldo Cierre FONRECAR/2024</t>
  </si>
  <si>
    <t>Saldo Cierre IF SAS/2024</t>
  </si>
  <si>
    <t>AÑO 2024 FONRECAR</t>
  </si>
  <si>
    <t>AÑO 2024 IF SAS</t>
  </si>
  <si>
    <t>(+) Aumento en otros activos o aumento</t>
  </si>
  <si>
    <t>(-) Disminucion Pasivo Corriente</t>
  </si>
  <si>
    <t>(+) AumentoFondos especiales fiduciarios</t>
  </si>
  <si>
    <t xml:space="preserve">(-) Disminucion Inversiones </t>
  </si>
  <si>
    <t>(-)Disminucion Pago  Obligaciones  a Largo Plazo</t>
  </si>
  <si>
    <t>(+)Aumento efectivo</t>
  </si>
  <si>
    <t xml:space="preserve">REVALUACION DE ACTIVOS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</si>
</sst>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 #,##0;[Red]\-&quot;$&quot;\ #,##0"/>
    <numFmt numFmtId="44" formatCode="_-&quot;$&quot;\ * #,##0.00_-;\-&quot;$&quot;\ * #,##0.00_-;_-&quot;$&quot;\ * &quot;-&quot;??_-;_-@_-"/>
    <numFmt numFmtId="43" formatCode="_-* #,##0.00_-;\-* #,##0.00_-;_-* &quot;-&quot;??_-;_-@_-"/>
    <numFmt numFmtId="164" formatCode="_(* #,##0.00_);_(* \(#,##0.00\);_(* &quot;-&quot;??_);_(@_)"/>
    <numFmt numFmtId="165" formatCode="_-* #,##0.00\ _€_-;\-* #,##0.00\ _€_-;_-* &quot;-&quot;??\ _€_-;_-@_-"/>
    <numFmt numFmtId="166" formatCode="_-* #,##0.00\ _$_-;\-* #,##0.00\ _$_-;_-* &quot;-&quot;??\ _$_-;_-@_-"/>
    <numFmt numFmtId="167" formatCode="0.0%"/>
    <numFmt numFmtId="168" formatCode="#,##0\ ;&quot; -&quot;#,##0\ ;&quot; -&quot;#\ ;@\ "/>
    <numFmt numFmtId="169" formatCode="0.000%"/>
    <numFmt numFmtId="170" formatCode="_-* #,##0\ _€_-;\-* #,##0\ _€_-;_-* &quot;-&quot;??\ _€_-;_-@_-"/>
    <numFmt numFmtId="171" formatCode="#,##0;[Red]\(#,##0\)"/>
    <numFmt numFmtId="172" formatCode="_(* #,##0_);_(* \(#,##0\);_(* &quot;-&quot;??_);_(@_)"/>
    <numFmt numFmtId="173" formatCode="_-* #,##0_-;\-* #,##0_-;_-* &quot;-&quot;??_-;_-@_-"/>
    <numFmt numFmtId="174" formatCode="_ * #,##0_ ;_ * \-#,##0_ ;_ * \-??_ ;_ @_ "/>
    <numFmt numFmtId="175" formatCode="#,##0.00;\(#,##0.00\)"/>
    <numFmt numFmtId="176" formatCode="[$-F800]dddd\,\ mmmm\ dd\,\ yyyy"/>
    <numFmt numFmtId="177" formatCode="#,##0.000_);\(#,##0.000\)"/>
    <numFmt numFmtId="178" formatCode="#,##0.0000_);\(#,##0.0000\)"/>
    <numFmt numFmtId="179" formatCode="_-&quot;$&quot;\ * #,##0_-;\-&quot;$&quot;\ * #,##0_-;_-&quot;$&quot;\ * &quot;-&quot;??_-;_-@_-"/>
    <numFmt numFmtId="180" formatCode="&quot;$&quot;\ #,##0"/>
  </numFmts>
  <fonts count="172" x14ac:knownFonts="1">
    <font>
      <sz val="12"/>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9"/>
      <name val="Calibri"/>
      <family val="2"/>
    </font>
    <font>
      <sz val="11"/>
      <color indexed="17"/>
      <name val="Calibri"/>
      <family val="2"/>
    </font>
    <font>
      <b/>
      <sz val="11"/>
      <color indexed="10"/>
      <name val="Calibri"/>
      <family val="2"/>
    </font>
    <font>
      <b/>
      <sz val="11"/>
      <color indexed="9"/>
      <name val="Calibri"/>
      <family val="2"/>
    </font>
    <font>
      <sz val="11"/>
      <color indexed="10"/>
      <name val="Calibri"/>
      <family val="2"/>
    </font>
    <font>
      <b/>
      <sz val="11"/>
      <color indexed="62"/>
      <name val="Calibri"/>
      <family val="2"/>
    </font>
    <font>
      <sz val="11"/>
      <color indexed="62"/>
      <name val="Calibri"/>
      <family val="2"/>
    </font>
    <font>
      <sz val="11"/>
      <color indexed="20"/>
      <name val="Calibri"/>
      <family val="2"/>
    </font>
    <font>
      <sz val="11"/>
      <color indexed="19"/>
      <name val="Calibri"/>
      <family val="2"/>
    </font>
    <font>
      <b/>
      <sz val="11"/>
      <color indexed="63"/>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8"/>
      <name val="Calibri"/>
      <family val="2"/>
    </font>
    <font>
      <sz val="9"/>
      <name val="Arial"/>
      <family val="2"/>
    </font>
    <font>
      <b/>
      <sz val="9"/>
      <name val="Arial"/>
      <family val="2"/>
    </font>
    <font>
      <b/>
      <sz val="8"/>
      <name val="Arial"/>
      <family val="2"/>
    </font>
    <font>
      <sz val="10"/>
      <name val="Arial"/>
      <family val="2"/>
    </font>
    <font>
      <sz val="8"/>
      <name val="Arial"/>
      <family val="2"/>
    </font>
    <font>
      <b/>
      <sz val="12"/>
      <name val="Arial"/>
      <family val="2"/>
    </font>
    <font>
      <sz val="12"/>
      <name val="Arial"/>
      <family val="2"/>
    </font>
    <font>
      <sz val="10"/>
      <color indexed="8"/>
      <name val="MS Sans Serif"/>
      <family val="2"/>
    </font>
    <font>
      <sz val="9"/>
      <color indexed="8"/>
      <name val="Arial"/>
      <family val="2"/>
    </font>
    <font>
      <sz val="10"/>
      <color indexed="8"/>
      <name val="MS Sans Serif"/>
      <family val="2"/>
    </font>
    <font>
      <sz val="10"/>
      <color indexed="8"/>
      <name val="Arial"/>
      <family val="2"/>
    </font>
    <font>
      <sz val="11"/>
      <color indexed="8"/>
      <name val="Calibri"/>
      <family val="2"/>
    </font>
    <font>
      <b/>
      <sz val="10"/>
      <color indexed="8"/>
      <name val="Calibri"/>
      <family val="2"/>
    </font>
    <font>
      <sz val="10"/>
      <color indexed="8"/>
      <name val="Calibri"/>
      <family val="2"/>
    </font>
    <font>
      <b/>
      <sz val="12"/>
      <color indexed="8"/>
      <name val="Arial"/>
      <family val="2"/>
    </font>
    <font>
      <sz val="10"/>
      <color indexed="8"/>
      <name val="MS Sans Serif"/>
      <family val="2"/>
    </font>
    <font>
      <b/>
      <sz val="14.05"/>
      <color indexed="8"/>
      <name val="Times New Roman"/>
      <family val="1"/>
    </font>
    <font>
      <b/>
      <sz val="9.85"/>
      <color indexed="8"/>
      <name val="Times New Roman"/>
      <family val="1"/>
    </font>
    <font>
      <sz val="9.85"/>
      <color indexed="8"/>
      <name val="Times New Roman"/>
      <family val="1"/>
    </font>
    <font>
      <b/>
      <sz val="12.95"/>
      <color indexed="8"/>
      <name val="Times New Roman"/>
      <family val="1"/>
    </font>
    <font>
      <sz val="9"/>
      <color indexed="8"/>
      <name val="Times New Roman"/>
      <family val="1"/>
    </font>
    <font>
      <b/>
      <sz val="9.9499999999999993"/>
      <color indexed="8"/>
      <name val="Arial"/>
      <family val="2"/>
    </font>
    <font>
      <b/>
      <sz val="9"/>
      <color indexed="8"/>
      <name val="Arial"/>
      <family val="2"/>
    </font>
    <font>
      <sz val="9.9499999999999993"/>
      <color indexed="8"/>
      <name val="Arial"/>
      <family val="2"/>
    </font>
    <font>
      <b/>
      <u/>
      <sz val="12"/>
      <color indexed="8"/>
      <name val="Arial"/>
      <family val="2"/>
    </font>
    <font>
      <sz val="10"/>
      <color indexed="8"/>
      <name val="MS Sans Serif"/>
      <family val="2"/>
    </font>
    <font>
      <sz val="10"/>
      <color indexed="8"/>
      <name val="MS Sans Serif"/>
      <family val="2"/>
    </font>
    <font>
      <sz val="10"/>
      <color indexed="8"/>
      <name val="MS Sans Serif"/>
      <family val="2"/>
    </font>
    <font>
      <sz val="10"/>
      <color indexed="8"/>
      <name val="MS Sans Serif"/>
      <family val="2"/>
    </font>
    <font>
      <sz val="8"/>
      <name val="Microsoft Tai Le"/>
      <family val="2"/>
    </font>
    <font>
      <b/>
      <sz val="8"/>
      <name val="Microsoft Tai Le"/>
      <family val="2"/>
    </font>
    <font>
      <b/>
      <sz val="8"/>
      <color indexed="8"/>
      <name val="Microsoft Tai Le"/>
      <family val="2"/>
    </font>
    <font>
      <b/>
      <sz val="8"/>
      <color indexed="9"/>
      <name val="Microsoft Tai Le"/>
      <family val="2"/>
    </font>
    <font>
      <sz val="8"/>
      <color indexed="8"/>
      <name val="Microsoft Tai Le"/>
      <family val="2"/>
    </font>
    <font>
      <b/>
      <sz val="8"/>
      <color indexed="60"/>
      <name val="Microsoft Tai Le"/>
      <family val="2"/>
    </font>
    <font>
      <b/>
      <sz val="10"/>
      <name val="Arial"/>
      <family val="2"/>
    </font>
    <font>
      <sz val="10"/>
      <color indexed="8"/>
      <name val="MS Sans Serif"/>
      <family val="2"/>
    </font>
    <font>
      <sz val="11"/>
      <name val="Microsoft New Tai Lue"/>
      <family val="2"/>
    </font>
    <font>
      <b/>
      <sz val="14"/>
      <name val="Arial"/>
      <family val="2"/>
    </font>
    <font>
      <sz val="14"/>
      <name val="Arial"/>
      <family val="2"/>
    </font>
    <font>
      <sz val="11"/>
      <name val="Arial"/>
      <family val="2"/>
    </font>
    <font>
      <sz val="10"/>
      <color indexed="8"/>
      <name val="MS Sans Serif"/>
      <family val="2"/>
    </font>
    <font>
      <sz val="10"/>
      <color indexed="8"/>
      <name val="MS Sans Serif"/>
      <family val="2"/>
    </font>
    <font>
      <sz val="10"/>
      <color indexed="8"/>
      <name val="MS Sans Serif"/>
      <family val="2"/>
    </font>
    <font>
      <sz val="16"/>
      <name val="Arial"/>
      <family val="2"/>
    </font>
    <font>
      <b/>
      <i/>
      <u/>
      <sz val="14"/>
      <name val="Arial"/>
      <family val="2"/>
    </font>
    <font>
      <sz val="10"/>
      <name val="Verdana"/>
      <family val="2"/>
    </font>
    <font>
      <b/>
      <i/>
      <u/>
      <sz val="10"/>
      <name val="Verdana"/>
      <family val="2"/>
    </font>
    <font>
      <sz val="10"/>
      <color indexed="8"/>
      <name val="MS Sans Serif"/>
      <family val="2"/>
    </font>
    <font>
      <b/>
      <i/>
      <sz val="12"/>
      <name val="Segoe UI"/>
      <family val="2"/>
    </font>
    <font>
      <b/>
      <i/>
      <sz val="10"/>
      <name val="Segoe UI"/>
      <family val="2"/>
    </font>
    <font>
      <i/>
      <sz val="10"/>
      <name val="Segoe UI"/>
      <family val="2"/>
    </font>
    <font>
      <i/>
      <sz val="10"/>
      <color indexed="8"/>
      <name val="Segoe UI"/>
      <family val="2"/>
    </font>
    <font>
      <sz val="10"/>
      <name val="Segoe UI"/>
      <family val="2"/>
    </font>
    <font>
      <sz val="10"/>
      <color indexed="8"/>
      <name val="MS Sans Serif"/>
      <family val="2"/>
    </font>
    <font>
      <sz val="10"/>
      <color indexed="8"/>
      <name val="MS Sans Serif"/>
      <family val="2"/>
    </font>
    <font>
      <sz val="10"/>
      <color indexed="8"/>
      <name val="MS Sans Serif"/>
      <family val="2"/>
    </font>
    <font>
      <b/>
      <u/>
      <sz val="8"/>
      <name val="Arial"/>
      <family val="2"/>
    </font>
    <font>
      <sz val="8"/>
      <name val="Verdana"/>
      <family val="2"/>
    </font>
    <font>
      <b/>
      <sz val="9"/>
      <color indexed="81"/>
      <name val="Tahoma"/>
      <family val="2"/>
    </font>
    <font>
      <b/>
      <i/>
      <sz val="16"/>
      <name val="Segoe UI"/>
      <family val="2"/>
    </font>
    <font>
      <sz val="10"/>
      <color indexed="8"/>
      <name val="MS Sans Serif"/>
      <family val="2"/>
    </font>
    <font>
      <sz val="10"/>
      <color indexed="8"/>
      <name val="MS Sans Serif"/>
      <family val="2"/>
    </font>
    <font>
      <sz val="10"/>
      <color indexed="8"/>
      <name val="MS Sans Serif"/>
      <family val="2"/>
    </font>
    <font>
      <sz val="10"/>
      <color indexed="8"/>
      <name val="MS Sans Serif"/>
      <family val="2"/>
    </font>
    <font>
      <sz val="10"/>
      <color indexed="8"/>
      <name val="MS Sans Serif"/>
      <family val="2"/>
    </font>
    <font>
      <sz val="22"/>
      <name val="Segoe UI"/>
      <family val="2"/>
    </font>
    <font>
      <b/>
      <sz val="11"/>
      <name val="Microsoft Tai Le"/>
      <family val="2"/>
    </font>
    <font>
      <b/>
      <sz val="12"/>
      <name val="Microsoft Tai Le"/>
      <family val="2"/>
    </font>
    <font>
      <sz val="11"/>
      <name val="Microsoft Tai Le"/>
      <family val="2"/>
    </font>
    <font>
      <b/>
      <sz val="11"/>
      <color indexed="8"/>
      <name val="Microsoft Tai Le"/>
      <family val="2"/>
    </font>
    <font>
      <b/>
      <sz val="11"/>
      <color indexed="60"/>
      <name val="Microsoft Tai Le"/>
      <family val="2"/>
    </font>
    <font>
      <b/>
      <sz val="11"/>
      <color indexed="9"/>
      <name val="Microsoft Tai Le"/>
      <family val="2"/>
    </font>
    <font>
      <b/>
      <sz val="11"/>
      <color indexed="8"/>
      <name val="Segoe UI"/>
      <family val="2"/>
    </font>
    <font>
      <sz val="12"/>
      <name val="Segoe UI"/>
      <family val="2"/>
    </font>
    <font>
      <sz val="8"/>
      <color indexed="8"/>
      <name val="Segoe UI"/>
      <family val="2"/>
    </font>
    <font>
      <b/>
      <sz val="8"/>
      <color indexed="8"/>
      <name val="Segoe UI"/>
      <family val="2"/>
    </font>
    <font>
      <i/>
      <sz val="8"/>
      <name val="Segoe UI"/>
      <family val="2"/>
    </font>
    <font>
      <b/>
      <i/>
      <sz val="8"/>
      <name val="Segoe UI"/>
      <family val="2"/>
    </font>
    <font>
      <b/>
      <sz val="10"/>
      <color indexed="8"/>
      <name val="Segoe UI"/>
      <family val="2"/>
    </font>
    <font>
      <b/>
      <i/>
      <sz val="11"/>
      <color indexed="8"/>
      <name val="Segoe UI"/>
      <family val="2"/>
    </font>
    <font>
      <b/>
      <i/>
      <sz val="8"/>
      <color indexed="8"/>
      <name val="Segoe UI"/>
      <family val="2"/>
    </font>
    <font>
      <b/>
      <i/>
      <sz val="10"/>
      <color indexed="8"/>
      <name val="Segoe UI"/>
      <family val="2"/>
    </font>
    <font>
      <b/>
      <i/>
      <sz val="9"/>
      <name val="Segoe UI"/>
      <family val="2"/>
    </font>
    <font>
      <b/>
      <sz val="9"/>
      <color indexed="8"/>
      <name val="Segoe UI"/>
      <family val="2"/>
    </font>
    <font>
      <sz val="11"/>
      <color theme="1"/>
      <name val="Calibri"/>
      <family val="2"/>
      <scheme val="minor"/>
    </font>
    <font>
      <sz val="9"/>
      <name val="Cambria"/>
      <family val="1"/>
      <scheme val="major"/>
    </font>
    <font>
      <sz val="10"/>
      <color theme="1"/>
      <name val="Arial"/>
      <family val="2"/>
    </font>
    <font>
      <b/>
      <sz val="8"/>
      <color theme="0"/>
      <name val="Microsoft Tai Le"/>
      <family val="2"/>
    </font>
    <font>
      <b/>
      <sz val="8"/>
      <color theme="1"/>
      <name val="Microsoft Tai Le"/>
      <family val="2"/>
    </font>
    <font>
      <sz val="8"/>
      <color theme="1"/>
      <name val="Microsoft Tai Le"/>
      <family val="2"/>
    </font>
    <font>
      <b/>
      <sz val="12"/>
      <name val="Calibri"/>
      <family val="2"/>
      <scheme val="minor"/>
    </font>
    <font>
      <sz val="12"/>
      <name val="Calibri"/>
      <family val="2"/>
      <scheme val="minor"/>
    </font>
    <font>
      <b/>
      <sz val="8"/>
      <color rgb="FF000000"/>
      <name val="Microsoft Tai Le"/>
      <family val="2"/>
    </font>
    <font>
      <sz val="12"/>
      <color theme="1"/>
      <name val="Arial"/>
      <family val="2"/>
    </font>
    <font>
      <sz val="12"/>
      <color theme="0"/>
      <name val="Arial"/>
      <family val="2"/>
    </font>
    <font>
      <b/>
      <sz val="12"/>
      <color theme="1"/>
      <name val="Arial"/>
      <family val="2"/>
    </font>
    <font>
      <b/>
      <sz val="12"/>
      <color theme="0"/>
      <name val="Arial"/>
      <family val="2"/>
    </font>
    <font>
      <b/>
      <sz val="10"/>
      <color theme="1"/>
      <name val="Calibri"/>
      <family val="2"/>
      <scheme val="minor"/>
    </font>
    <font>
      <b/>
      <u/>
      <sz val="12"/>
      <color theme="1"/>
      <name val="Calibri"/>
      <family val="2"/>
      <scheme val="minor"/>
    </font>
    <font>
      <sz val="11"/>
      <color rgb="FF92D050"/>
      <name val="Calibri"/>
      <family val="2"/>
      <scheme val="minor"/>
    </font>
    <font>
      <b/>
      <sz val="11"/>
      <color rgb="FFFF0000"/>
      <name val="Calibri"/>
      <family val="2"/>
      <scheme val="minor"/>
    </font>
    <font>
      <sz val="11"/>
      <color theme="1"/>
      <name val="Microsoft New Tai Lue"/>
      <family val="2"/>
    </font>
    <font>
      <sz val="14"/>
      <color theme="1"/>
      <name val="Arial"/>
      <family val="2"/>
    </font>
    <font>
      <b/>
      <i/>
      <sz val="12"/>
      <name val="Cambria"/>
      <family val="1"/>
      <scheme val="major"/>
    </font>
    <font>
      <b/>
      <sz val="9"/>
      <name val="Calibri"/>
      <family val="2"/>
      <scheme val="minor"/>
    </font>
    <font>
      <sz val="9"/>
      <name val="Calibri"/>
      <family val="2"/>
      <scheme val="minor"/>
    </font>
    <font>
      <b/>
      <sz val="11"/>
      <name val="Calibri"/>
      <family val="2"/>
      <scheme val="minor"/>
    </font>
    <font>
      <sz val="11"/>
      <name val="Calibri"/>
      <family val="2"/>
      <scheme val="minor"/>
    </font>
    <font>
      <i/>
      <sz val="10"/>
      <color theme="1"/>
      <name val="Segoe UI"/>
      <family val="2"/>
    </font>
    <font>
      <i/>
      <sz val="10"/>
      <color rgb="FFFF0000"/>
      <name val="Segoe UI"/>
      <family val="2"/>
    </font>
    <font>
      <b/>
      <i/>
      <sz val="10"/>
      <color rgb="FFFF0000"/>
      <name val="Segoe UI"/>
      <family val="2"/>
    </font>
    <font>
      <b/>
      <sz val="10"/>
      <color theme="1"/>
      <name val="Microsoft Tai Le"/>
      <family val="2"/>
    </font>
    <font>
      <b/>
      <sz val="11"/>
      <color theme="1"/>
      <name val="Microsoft Tai Le"/>
      <family val="2"/>
    </font>
    <font>
      <b/>
      <sz val="11"/>
      <color rgb="FF000000"/>
      <name val="Microsoft Tai Le"/>
      <family val="2"/>
    </font>
    <font>
      <b/>
      <sz val="12"/>
      <color rgb="FF000000"/>
      <name val="Microsoft Tai Le"/>
      <family val="2"/>
    </font>
    <font>
      <b/>
      <sz val="12"/>
      <color theme="1"/>
      <name val="Microsoft Tai Le"/>
      <family val="2"/>
    </font>
    <font>
      <b/>
      <sz val="11"/>
      <color theme="0"/>
      <name val="Microsoft Tai Le"/>
      <family val="2"/>
    </font>
    <font>
      <b/>
      <sz val="11"/>
      <color theme="1"/>
      <name val="Calibri"/>
      <family val="2"/>
      <scheme val="minor"/>
    </font>
    <font>
      <b/>
      <sz val="14"/>
      <color theme="1"/>
      <name val="Calibri"/>
      <family val="2"/>
      <scheme val="minor"/>
    </font>
    <font>
      <b/>
      <sz val="11"/>
      <color rgb="FFFFFFFF"/>
      <name val="Microsoft Tai Le"/>
      <family val="2"/>
    </font>
    <font>
      <i/>
      <sz val="10"/>
      <color theme="0"/>
      <name val="Segoe UI"/>
      <family val="2"/>
    </font>
    <font>
      <sz val="12"/>
      <color theme="1"/>
      <name val="Calibri"/>
      <family val="2"/>
    </font>
    <font>
      <sz val="12"/>
      <color indexed="8"/>
      <name val="Calibri"/>
      <family val="2"/>
      <scheme val="minor"/>
    </font>
    <font>
      <sz val="8"/>
      <name val="Cambria"/>
      <family val="1"/>
      <scheme val="major"/>
    </font>
    <font>
      <b/>
      <sz val="8"/>
      <name val="Cambria"/>
      <family val="1"/>
      <scheme val="major"/>
    </font>
    <font>
      <b/>
      <sz val="10"/>
      <name val="Cambria"/>
      <family val="1"/>
      <scheme val="major"/>
    </font>
    <font>
      <sz val="8"/>
      <name val="Calibri"/>
      <family val="2"/>
      <scheme val="minor"/>
    </font>
    <font>
      <b/>
      <sz val="8"/>
      <name val="Calibri"/>
      <family val="2"/>
      <scheme val="minor"/>
    </font>
    <font>
      <sz val="10"/>
      <name val="Calibri"/>
      <family val="2"/>
      <scheme val="minor"/>
    </font>
    <font>
      <b/>
      <sz val="10"/>
      <name val="Calibri"/>
      <family val="2"/>
      <scheme val="minor"/>
    </font>
    <font>
      <b/>
      <i/>
      <sz val="14"/>
      <name val="Cambria"/>
      <family val="1"/>
      <scheme val="major"/>
    </font>
    <font>
      <b/>
      <sz val="9"/>
      <name val="Cambria"/>
      <family val="1"/>
      <scheme val="major"/>
    </font>
    <font>
      <b/>
      <sz val="14"/>
      <name val="Calibri"/>
      <family val="2"/>
      <scheme val="minor"/>
    </font>
    <font>
      <b/>
      <i/>
      <u/>
      <sz val="18"/>
      <name val="Calibri"/>
      <family val="2"/>
      <scheme val="minor"/>
    </font>
    <font>
      <sz val="8"/>
      <color rgb="FF000000"/>
      <name val="Microsoft Tai Le"/>
      <family val="2"/>
    </font>
    <font>
      <sz val="12"/>
      <name val="Cambria"/>
      <family val="1"/>
      <scheme val="major"/>
    </font>
    <font>
      <sz val="8"/>
      <color indexed="8"/>
      <name val="Calibri"/>
      <family val="2"/>
      <scheme val="minor"/>
    </font>
    <font>
      <b/>
      <i/>
      <sz val="12"/>
      <name val="Arial"/>
      <family val="2"/>
    </font>
    <font>
      <i/>
      <sz val="12"/>
      <name val="Arial"/>
      <family val="2"/>
    </font>
    <font>
      <b/>
      <i/>
      <sz val="12"/>
      <color indexed="8"/>
      <name val="Arial"/>
      <family val="2"/>
    </font>
    <font>
      <sz val="12"/>
      <color indexed="8"/>
      <name val="Arial"/>
      <family val="2"/>
    </font>
    <font>
      <sz val="12"/>
      <color rgb="FFFF0000"/>
      <name val="Arial"/>
      <family val="2"/>
    </font>
    <font>
      <i/>
      <sz val="12"/>
      <color indexed="8"/>
      <name val="Arial"/>
      <family val="2"/>
    </font>
    <font>
      <b/>
      <i/>
      <sz val="14"/>
      <name val="Arial"/>
      <family val="2"/>
    </font>
    <font>
      <b/>
      <i/>
      <sz val="10"/>
      <name val="Arial"/>
      <family val="2"/>
    </font>
    <font>
      <i/>
      <sz val="10"/>
      <name val="Arial"/>
      <family val="2"/>
    </font>
    <font>
      <sz val="8"/>
      <color indexed="8"/>
      <name val="Arial"/>
      <family val="2"/>
    </font>
  </fonts>
  <fills count="72">
    <fill>
      <patternFill patternType="none"/>
    </fill>
    <fill>
      <patternFill patternType="gray125"/>
    </fill>
    <fill>
      <patternFill patternType="solid">
        <fgColor indexed="44"/>
        <bgColor indexed="27"/>
      </patternFill>
    </fill>
    <fill>
      <patternFill patternType="solid">
        <fgColor indexed="31"/>
        <bgColor indexed="44"/>
      </patternFill>
    </fill>
    <fill>
      <patternFill patternType="solid">
        <fgColor indexed="29"/>
        <bgColor indexed="45"/>
      </patternFill>
    </fill>
    <fill>
      <patternFill patternType="solid">
        <fgColor indexed="26"/>
        <bgColor indexed="43"/>
      </patternFill>
    </fill>
    <fill>
      <patternFill patternType="solid">
        <fgColor indexed="31"/>
        <bgColor indexed="42"/>
      </patternFill>
    </fill>
    <fill>
      <patternFill patternType="solid">
        <fgColor indexed="27"/>
        <bgColor indexed="42"/>
      </patternFill>
    </fill>
    <fill>
      <patternFill patternType="solid">
        <fgColor indexed="27"/>
        <bgColor indexed="44"/>
      </patternFill>
    </fill>
    <fill>
      <patternFill patternType="solid">
        <fgColor indexed="41"/>
        <bgColor indexed="31"/>
      </patternFill>
    </fill>
    <fill>
      <patternFill patternType="solid">
        <fgColor indexed="43"/>
        <bgColor indexed="26"/>
      </patternFill>
    </fill>
    <fill>
      <patternFill patternType="solid">
        <fgColor indexed="45"/>
        <bgColor indexed="46"/>
      </patternFill>
    </fill>
    <fill>
      <patternFill patternType="solid">
        <fgColor indexed="25"/>
        <bgColor indexed="23"/>
      </patternFill>
    </fill>
    <fill>
      <patternFill patternType="solid">
        <fgColor indexed="50"/>
        <bgColor indexed="19"/>
      </patternFill>
    </fill>
    <fill>
      <patternFill patternType="solid">
        <fgColor indexed="9"/>
        <bgColor indexed="26"/>
      </patternFill>
    </fill>
    <fill>
      <patternFill patternType="solid">
        <fgColor indexed="55"/>
        <bgColor indexed="23"/>
      </patternFill>
    </fill>
    <fill>
      <patternFill patternType="solid">
        <fgColor indexed="48"/>
        <bgColor indexed="62"/>
      </patternFill>
    </fill>
    <fill>
      <patternFill patternType="solid">
        <fgColor indexed="54"/>
        <bgColor indexed="23"/>
      </patternFill>
    </fill>
    <fill>
      <patternFill patternType="solid">
        <fgColor indexed="49"/>
        <bgColor indexed="40"/>
      </patternFill>
    </fill>
    <fill>
      <patternFill patternType="solid">
        <fgColor indexed="10"/>
        <bgColor indexed="60"/>
      </patternFill>
    </fill>
    <fill>
      <patternFill patternType="solid">
        <fgColor indexed="10"/>
        <bgColor indexed="53"/>
      </patternFill>
    </fill>
    <fill>
      <patternFill patternType="solid">
        <fgColor indexed="46"/>
        <bgColor indexed="45"/>
      </patternFill>
    </fill>
    <fill>
      <patternFill patternType="solid">
        <fgColor indexed="42"/>
        <bgColor indexed="41"/>
      </patternFill>
    </fill>
    <fill>
      <patternFill patternType="solid">
        <fgColor indexed="31"/>
        <bgColor indexed="64"/>
      </patternFill>
    </fill>
    <fill>
      <patternFill patternType="solid">
        <fgColor indexed="27"/>
        <bgColor indexed="64"/>
      </patternFill>
    </fill>
    <fill>
      <patternFill patternType="solid">
        <fgColor indexed="42"/>
        <bgColor indexed="64"/>
      </patternFill>
    </fill>
    <fill>
      <patternFill patternType="solid">
        <fgColor indexed="22"/>
        <bgColor indexed="64"/>
      </patternFill>
    </fill>
    <fill>
      <patternFill patternType="solid">
        <fgColor indexed="13"/>
        <bgColor indexed="3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indexed="10"/>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rgb="FF0EE018"/>
        <bgColor indexed="64"/>
      </patternFill>
    </fill>
    <fill>
      <patternFill patternType="solid">
        <fgColor theme="9" tint="0.59999389629810485"/>
        <bgColor indexed="64"/>
      </patternFill>
    </fill>
    <fill>
      <patternFill patternType="solid">
        <fgColor rgb="FFFFFF00"/>
        <bgColor indexed="64"/>
      </patternFill>
    </fill>
    <fill>
      <patternFill patternType="solid">
        <fgColor rgb="FF0EE018"/>
        <bgColor rgb="FF000000"/>
      </patternFill>
    </fill>
    <fill>
      <patternFill patternType="solid">
        <fgColor theme="6" tint="0.59999389629810485"/>
        <bgColor indexed="26"/>
      </patternFill>
    </fill>
    <fill>
      <patternFill patternType="solid">
        <fgColor theme="6" tint="0.59999389629810485"/>
        <bgColor indexed="27"/>
      </patternFill>
    </fill>
    <fill>
      <patternFill patternType="solid">
        <fgColor theme="4" tint="0.59999389629810485"/>
        <bgColor indexed="64"/>
      </patternFill>
    </fill>
    <fill>
      <patternFill patternType="solid">
        <fgColor rgb="FFFCD5B4"/>
        <bgColor rgb="FF000000"/>
      </patternFill>
    </fill>
    <fill>
      <patternFill patternType="solid">
        <fgColor rgb="FFFFFF00"/>
        <bgColor rgb="FF000000"/>
      </patternFill>
    </fill>
    <fill>
      <patternFill patternType="solid">
        <fgColor theme="6" tint="0.39997558519241921"/>
        <bgColor indexed="26"/>
      </patternFill>
    </fill>
    <fill>
      <patternFill patternType="solid">
        <fgColor theme="6" tint="-0.249977111117893"/>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
      <patternFill patternType="solid">
        <fgColor theme="4" tint="0.59999389629810485"/>
        <bgColor indexed="43"/>
      </patternFill>
    </fill>
    <fill>
      <patternFill patternType="solid">
        <fgColor theme="7" tint="0.59999389629810485"/>
        <bgColor indexed="64"/>
      </patternFill>
    </fill>
    <fill>
      <patternFill patternType="solid">
        <fgColor theme="3" tint="0.59999389629810485"/>
        <bgColor indexed="64"/>
      </patternFill>
    </fill>
    <fill>
      <patternFill patternType="solid">
        <fgColor rgb="FFB8CCE4"/>
        <bgColor rgb="FFFFFF99"/>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C000"/>
        <bgColor indexed="42"/>
      </patternFill>
    </fill>
    <fill>
      <patternFill patternType="solid">
        <fgColor rgb="FF99FF33"/>
        <bgColor indexed="64"/>
      </patternFill>
    </fill>
    <fill>
      <gradientFill degree="90">
        <stop position="0">
          <color theme="0"/>
        </stop>
        <stop position="1">
          <color theme="2" tint="-0.25098422193060094"/>
        </stop>
      </gradientFill>
    </fill>
    <fill>
      <patternFill patternType="solid">
        <fgColor theme="6"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0000"/>
        <bgColor rgb="FF000000"/>
      </patternFill>
    </fill>
    <fill>
      <patternFill patternType="solid">
        <fgColor rgb="FFFFC000"/>
        <bgColor indexed="64"/>
      </patternFill>
    </fill>
    <fill>
      <patternFill patternType="solid">
        <fgColor rgb="FF00B050"/>
        <bgColor indexed="64"/>
      </patternFill>
    </fill>
    <fill>
      <patternFill patternType="solid">
        <fgColor theme="6" tint="0.79998168889431442"/>
        <bgColor indexed="42"/>
      </patternFill>
    </fill>
    <fill>
      <patternFill patternType="solid">
        <fgColor theme="6" tint="0.79998168889431442"/>
        <bgColor indexed="64"/>
      </patternFill>
    </fill>
    <fill>
      <patternFill patternType="solid">
        <fgColor theme="6" tint="0.79998168889431442"/>
        <bgColor indexed="41"/>
      </patternFill>
    </fill>
    <fill>
      <patternFill patternType="solid">
        <fgColor rgb="FF92D050"/>
        <bgColor indexed="41"/>
      </patternFill>
    </fill>
    <fill>
      <patternFill patternType="solid">
        <fgColor rgb="FF92D050"/>
        <bgColor indexed="42"/>
      </patternFill>
    </fill>
    <fill>
      <patternFill patternType="solid">
        <fgColor theme="6" tint="0.59999389629810485"/>
        <bgColor indexed="64"/>
      </patternFill>
    </fill>
  </fills>
  <borders count="1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8"/>
      </bottom>
      <diagonal/>
    </border>
    <border>
      <left/>
      <right/>
      <top/>
      <bottom style="thick">
        <color indexed="27"/>
      </bottom>
      <diagonal/>
    </border>
    <border>
      <left/>
      <right/>
      <top/>
      <bottom style="thick">
        <color indexed="41"/>
      </bottom>
      <diagonal/>
    </border>
    <border>
      <left/>
      <right/>
      <top/>
      <bottom style="medium">
        <color indexed="27"/>
      </bottom>
      <diagonal/>
    </border>
    <border>
      <left/>
      <right/>
      <top/>
      <bottom style="medium">
        <color indexed="41"/>
      </bottom>
      <diagonal/>
    </border>
    <border>
      <left/>
      <right/>
      <top style="thin">
        <color indexed="48"/>
      </top>
      <bottom style="double">
        <color indexed="48"/>
      </bottom>
      <diagonal/>
    </border>
    <border>
      <left style="medium">
        <color indexed="64"/>
      </left>
      <right style="medium">
        <color indexed="64"/>
      </right>
      <top style="medium">
        <color indexed="64"/>
      </top>
      <bottom style="medium">
        <color indexed="64"/>
      </bottom>
      <diagonal/>
    </border>
    <border>
      <left style="medium">
        <color indexed="64"/>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8"/>
      </left>
      <right style="thin">
        <color indexed="8"/>
      </right>
      <top/>
      <bottom style="thin">
        <color indexed="8"/>
      </bottom>
      <diagonal/>
    </border>
    <border>
      <left style="thin">
        <color indexed="8"/>
      </left>
      <right/>
      <top/>
      <bottom/>
      <diagonal/>
    </border>
    <border>
      <left style="thin">
        <color indexed="64"/>
      </left>
      <right style="thin">
        <color indexed="64"/>
      </right>
      <top/>
      <bottom style="thin">
        <color indexed="64"/>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right style="thin">
        <color indexed="64"/>
      </right>
      <top style="thin">
        <color indexed="64"/>
      </top>
      <bottom style="thin">
        <color indexed="64"/>
      </bottom>
      <diagonal/>
    </border>
    <border>
      <left/>
      <right style="thin">
        <color indexed="8"/>
      </right>
      <top/>
      <bottom/>
      <diagonal/>
    </border>
    <border>
      <left style="medium">
        <color indexed="64"/>
      </left>
      <right style="medium">
        <color indexed="64"/>
      </right>
      <top/>
      <bottom style="medium">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8"/>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top style="thin">
        <color indexed="64"/>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22"/>
      </left>
      <right/>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diagonal/>
    </border>
    <border>
      <left/>
      <right style="thin">
        <color indexed="22"/>
      </right>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8"/>
      </left>
      <right/>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thin">
        <color indexed="64"/>
      </right>
      <top/>
      <bottom style="thin">
        <color indexed="64"/>
      </bottom>
      <diagonal/>
    </border>
    <border>
      <left style="thin">
        <color indexed="8"/>
      </left>
      <right style="medium">
        <color indexed="64"/>
      </right>
      <top style="thin">
        <color indexed="8"/>
      </top>
      <bottom style="thin">
        <color indexed="8"/>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8"/>
      </left>
      <right style="medium">
        <color indexed="64"/>
      </right>
      <top/>
      <bottom style="thin">
        <color indexed="8"/>
      </bottom>
      <diagonal/>
    </border>
    <border>
      <left style="thin">
        <color indexed="8"/>
      </left>
      <right style="medium">
        <color indexed="64"/>
      </right>
      <top style="thin">
        <color indexed="8"/>
      </top>
      <bottom/>
      <diagonal/>
    </border>
    <border>
      <left style="medium">
        <color indexed="64"/>
      </left>
      <right style="thin">
        <color indexed="64"/>
      </right>
      <top/>
      <bottom/>
      <diagonal/>
    </border>
    <border>
      <left style="thin">
        <color indexed="8"/>
      </left>
      <right style="medium">
        <color indexed="64"/>
      </right>
      <top/>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bottom style="thin">
        <color indexed="64"/>
      </bottom>
      <diagonal/>
    </border>
    <border>
      <left style="thin">
        <color indexed="8"/>
      </left>
      <right/>
      <top/>
      <bottom style="thin">
        <color indexed="64"/>
      </bottom>
      <diagonal/>
    </border>
    <border>
      <left/>
      <right/>
      <top/>
      <bottom style="thin">
        <color indexed="8"/>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8"/>
      </bottom>
      <diagonal/>
    </border>
    <border>
      <left style="thin">
        <color indexed="64"/>
      </left>
      <right style="medium">
        <color indexed="64"/>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style="medium">
        <color indexed="64"/>
      </right>
      <top style="medium">
        <color indexed="64"/>
      </top>
      <bottom style="medium">
        <color indexed="64"/>
      </bottom>
      <diagonal/>
    </border>
    <border>
      <left/>
      <right/>
      <top/>
      <bottom style="double">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s>
  <cellStyleXfs count="555">
    <xf numFmtId="39" fontId="0" fillId="0" borderId="0"/>
    <xf numFmtId="39" fontId="8" fillId="2" borderId="0" applyBorder="0" applyAlignment="0" applyProtection="0"/>
    <xf numFmtId="39" fontId="8" fillId="3" borderId="0" applyBorder="0" applyAlignment="0" applyProtection="0"/>
    <xf numFmtId="39" fontId="8" fillId="3" borderId="0" applyBorder="0" applyAlignment="0" applyProtection="0"/>
    <xf numFmtId="39" fontId="7" fillId="3" borderId="0" applyBorder="0" applyAlignment="0" applyProtection="0"/>
    <xf numFmtId="39" fontId="8" fillId="2" borderId="0" applyBorder="0" applyAlignment="0" applyProtection="0"/>
    <xf numFmtId="39" fontId="7" fillId="2" borderId="0" applyBorder="0" applyAlignment="0" applyProtection="0"/>
    <xf numFmtId="39" fontId="7" fillId="3" borderId="0" applyBorder="0" applyAlignment="0" applyProtection="0"/>
    <xf numFmtId="39" fontId="8" fillId="3" borderId="0" applyBorder="0" applyAlignment="0" applyProtection="0"/>
    <xf numFmtId="39" fontId="7" fillId="3" borderId="0" applyBorder="0" applyAlignment="0" applyProtection="0"/>
    <xf numFmtId="39" fontId="8" fillId="3" borderId="0" applyBorder="0" applyAlignment="0" applyProtection="0"/>
    <xf numFmtId="39" fontId="7" fillId="3" borderId="0" applyBorder="0" applyAlignment="0" applyProtection="0"/>
    <xf numFmtId="39" fontId="8" fillId="3" borderId="0" applyBorder="0" applyAlignment="0" applyProtection="0"/>
    <xf numFmtId="39" fontId="7" fillId="3" borderId="0" applyBorder="0" applyAlignment="0" applyProtection="0"/>
    <xf numFmtId="39" fontId="8" fillId="2" borderId="0" applyBorder="0" applyAlignment="0" applyProtection="0"/>
    <xf numFmtId="39" fontId="7" fillId="2" borderId="0" applyBorder="0" applyAlignment="0" applyProtection="0"/>
    <xf numFmtId="39" fontId="7" fillId="2" borderId="0" applyBorder="0" applyAlignment="0" applyProtection="0"/>
    <xf numFmtId="39" fontId="8" fillId="4" borderId="0" applyBorder="0" applyAlignment="0" applyProtection="0"/>
    <xf numFmtId="39" fontId="8" fillId="4" borderId="0" applyBorder="0" applyAlignment="0" applyProtection="0"/>
    <xf numFmtId="39" fontId="8" fillId="4" borderId="0" applyBorder="0" applyAlignment="0" applyProtection="0"/>
    <xf numFmtId="39" fontId="7" fillId="4" borderId="0" applyBorder="0" applyAlignment="0" applyProtection="0"/>
    <xf numFmtId="39" fontId="7" fillId="4" borderId="0" applyBorder="0" applyAlignment="0" applyProtection="0"/>
    <xf numFmtId="39" fontId="8" fillId="4" borderId="0" applyBorder="0" applyAlignment="0" applyProtection="0"/>
    <xf numFmtId="39" fontId="7" fillId="4" borderId="0" applyBorder="0" applyAlignment="0" applyProtection="0"/>
    <xf numFmtId="39" fontId="8" fillId="4" borderId="0" applyBorder="0" applyAlignment="0" applyProtection="0"/>
    <xf numFmtId="39" fontId="7" fillId="4" borderId="0" applyBorder="0" applyAlignment="0" applyProtection="0"/>
    <xf numFmtId="39" fontId="8" fillId="4" borderId="0" applyBorder="0" applyAlignment="0" applyProtection="0"/>
    <xf numFmtId="39" fontId="7" fillId="4" borderId="0" applyBorder="0" applyAlignment="0" applyProtection="0"/>
    <xf numFmtId="39" fontId="8" fillId="4" borderId="0" applyBorder="0" applyAlignment="0" applyProtection="0"/>
    <xf numFmtId="39" fontId="7" fillId="4" borderId="0" applyBorder="0" applyAlignment="0" applyProtection="0"/>
    <xf numFmtId="39" fontId="7" fillId="4" borderId="0" applyBorder="0" applyAlignment="0" applyProtection="0"/>
    <xf numFmtId="39" fontId="8" fillId="5" borderId="0" applyBorder="0" applyAlignment="0" applyProtection="0"/>
    <xf numFmtId="39" fontId="8" fillId="5" borderId="0" applyBorder="0" applyAlignment="0" applyProtection="0"/>
    <xf numFmtId="39" fontId="8" fillId="5" borderId="0" applyBorder="0" applyAlignment="0" applyProtection="0"/>
    <xf numFmtId="39" fontId="7" fillId="5" borderId="0" applyBorder="0" applyAlignment="0" applyProtection="0"/>
    <xf numFmtId="39" fontId="7" fillId="5" borderId="0" applyBorder="0" applyAlignment="0" applyProtection="0"/>
    <xf numFmtId="39" fontId="8" fillId="5" borderId="0" applyBorder="0" applyAlignment="0" applyProtection="0"/>
    <xf numFmtId="39" fontId="7" fillId="5" borderId="0" applyBorder="0" applyAlignment="0" applyProtection="0"/>
    <xf numFmtId="39" fontId="8" fillId="5" borderId="0" applyBorder="0" applyAlignment="0" applyProtection="0"/>
    <xf numFmtId="39" fontId="7" fillId="5" borderId="0" applyBorder="0" applyAlignment="0" applyProtection="0"/>
    <xf numFmtId="39" fontId="8" fillId="5" borderId="0" applyBorder="0" applyAlignment="0" applyProtection="0"/>
    <xf numFmtId="39" fontId="7" fillId="5" borderId="0" applyBorder="0" applyAlignment="0" applyProtection="0"/>
    <xf numFmtId="39" fontId="8" fillId="5" borderId="0" applyBorder="0" applyAlignment="0" applyProtection="0"/>
    <xf numFmtId="39" fontId="7" fillId="5" borderId="0" applyBorder="0" applyAlignment="0" applyProtection="0"/>
    <xf numFmtId="39" fontId="7" fillId="5" borderId="0" applyBorder="0" applyAlignment="0" applyProtection="0"/>
    <xf numFmtId="39" fontId="8" fillId="6" borderId="0" applyBorder="0" applyAlignment="0" applyProtection="0"/>
    <xf numFmtId="39" fontId="8" fillId="7" borderId="0" applyBorder="0" applyAlignment="0" applyProtection="0"/>
    <xf numFmtId="39" fontId="8" fillId="7" borderId="0" applyBorder="0" applyAlignment="0" applyProtection="0"/>
    <xf numFmtId="39" fontId="7" fillId="7" borderId="0" applyBorder="0" applyAlignment="0" applyProtection="0"/>
    <xf numFmtId="39" fontId="8" fillId="6" borderId="0" applyBorder="0" applyAlignment="0" applyProtection="0"/>
    <xf numFmtId="39" fontId="7" fillId="6" borderId="0" applyBorder="0" applyAlignment="0" applyProtection="0"/>
    <xf numFmtId="39" fontId="7" fillId="7" borderId="0" applyBorder="0" applyAlignment="0" applyProtection="0"/>
    <xf numFmtId="39" fontId="8" fillId="7" borderId="0" applyBorder="0" applyAlignment="0" applyProtection="0"/>
    <xf numFmtId="39" fontId="7" fillId="7" borderId="0" applyBorder="0" applyAlignment="0" applyProtection="0"/>
    <xf numFmtId="39" fontId="8" fillId="7" borderId="0" applyBorder="0" applyAlignment="0" applyProtection="0"/>
    <xf numFmtId="39" fontId="7" fillId="7" borderId="0" applyBorder="0" applyAlignment="0" applyProtection="0"/>
    <xf numFmtId="39" fontId="8" fillId="7" borderId="0" applyBorder="0" applyAlignment="0" applyProtection="0"/>
    <xf numFmtId="39" fontId="7" fillId="7" borderId="0" applyBorder="0" applyAlignment="0" applyProtection="0"/>
    <xf numFmtId="39" fontId="8" fillId="6" borderId="0" applyBorder="0" applyAlignment="0" applyProtection="0"/>
    <xf numFmtId="39" fontId="7" fillId="6" borderId="0" applyBorder="0" applyAlignment="0" applyProtection="0"/>
    <xf numFmtId="39" fontId="7" fillId="6" borderId="0" applyBorder="0" applyAlignment="0" applyProtection="0"/>
    <xf numFmtId="39" fontId="8" fillId="8" borderId="0" applyBorder="0" applyAlignment="0" applyProtection="0"/>
    <xf numFmtId="39" fontId="8" fillId="9" borderId="0" applyBorder="0" applyAlignment="0" applyProtection="0"/>
    <xf numFmtId="39" fontId="8" fillId="9" borderId="0" applyBorder="0" applyAlignment="0" applyProtection="0"/>
    <xf numFmtId="39" fontId="7" fillId="9" borderId="0" applyBorder="0" applyAlignment="0" applyProtection="0"/>
    <xf numFmtId="39" fontId="8" fillId="8" borderId="0" applyBorder="0" applyAlignment="0" applyProtection="0"/>
    <xf numFmtId="39" fontId="7" fillId="8" borderId="0" applyBorder="0" applyAlignment="0" applyProtection="0"/>
    <xf numFmtId="39" fontId="7" fillId="9" borderId="0" applyBorder="0" applyAlignment="0" applyProtection="0"/>
    <xf numFmtId="39" fontId="8" fillId="9" borderId="0" applyBorder="0" applyAlignment="0" applyProtection="0"/>
    <xf numFmtId="39" fontId="7" fillId="9" borderId="0" applyBorder="0" applyAlignment="0" applyProtection="0"/>
    <xf numFmtId="39" fontId="8" fillId="9" borderId="0" applyBorder="0" applyAlignment="0" applyProtection="0"/>
    <xf numFmtId="39" fontId="7" fillId="9" borderId="0" applyBorder="0" applyAlignment="0" applyProtection="0"/>
    <xf numFmtId="39" fontId="8" fillId="9" borderId="0" applyBorder="0" applyAlignment="0" applyProtection="0"/>
    <xf numFmtId="39" fontId="7" fillId="9" borderId="0" applyBorder="0" applyAlignment="0" applyProtection="0"/>
    <xf numFmtId="39" fontId="8" fillId="8" borderId="0" applyBorder="0" applyAlignment="0" applyProtection="0"/>
    <xf numFmtId="39" fontId="7" fillId="8" borderId="0" applyBorder="0" applyAlignment="0" applyProtection="0"/>
    <xf numFmtId="39" fontId="7" fillId="8" borderId="0" applyBorder="0" applyAlignment="0" applyProtection="0"/>
    <xf numFmtId="39" fontId="8" fillId="5" borderId="0" applyBorder="0" applyAlignment="0" applyProtection="0"/>
    <xf numFmtId="39" fontId="8" fillId="5" borderId="0" applyBorder="0" applyAlignment="0" applyProtection="0"/>
    <xf numFmtId="39" fontId="8" fillId="5" borderId="0" applyBorder="0" applyAlignment="0" applyProtection="0"/>
    <xf numFmtId="39" fontId="7" fillId="5" borderId="0" applyBorder="0" applyAlignment="0" applyProtection="0"/>
    <xf numFmtId="39" fontId="7" fillId="5" borderId="0" applyBorder="0" applyAlignment="0" applyProtection="0"/>
    <xf numFmtId="39" fontId="8" fillId="5" borderId="0" applyBorder="0" applyAlignment="0" applyProtection="0"/>
    <xf numFmtId="39" fontId="7" fillId="5" borderId="0" applyBorder="0" applyAlignment="0" applyProtection="0"/>
    <xf numFmtId="39" fontId="8" fillId="5" borderId="0" applyBorder="0" applyAlignment="0" applyProtection="0"/>
    <xf numFmtId="39" fontId="7" fillId="5" borderId="0" applyBorder="0" applyAlignment="0" applyProtection="0"/>
    <xf numFmtId="39" fontId="8" fillId="5" borderId="0" applyBorder="0" applyAlignment="0" applyProtection="0"/>
    <xf numFmtId="39" fontId="7" fillId="5" borderId="0" applyBorder="0" applyAlignment="0" applyProtection="0"/>
    <xf numFmtId="39" fontId="8" fillId="5" borderId="0" applyBorder="0" applyAlignment="0" applyProtection="0"/>
    <xf numFmtId="39" fontId="7" fillId="5" borderId="0" applyBorder="0" applyAlignment="0" applyProtection="0"/>
    <xf numFmtId="39" fontId="7" fillId="5" borderId="0" applyBorder="0" applyAlignment="0" applyProtection="0"/>
    <xf numFmtId="39" fontId="8" fillId="8" borderId="0" applyBorder="0" applyAlignment="0" applyProtection="0"/>
    <xf numFmtId="39" fontId="8" fillId="9" borderId="0" applyBorder="0" applyAlignment="0" applyProtection="0"/>
    <xf numFmtId="39" fontId="8" fillId="9" borderId="0" applyBorder="0" applyAlignment="0" applyProtection="0"/>
    <xf numFmtId="39" fontId="7" fillId="9" borderId="0" applyBorder="0" applyAlignment="0" applyProtection="0"/>
    <xf numFmtId="39" fontId="8" fillId="8" borderId="0" applyBorder="0" applyAlignment="0" applyProtection="0"/>
    <xf numFmtId="39" fontId="7" fillId="8" borderId="0" applyBorder="0" applyAlignment="0" applyProtection="0"/>
    <xf numFmtId="39" fontId="7" fillId="9" borderId="0" applyBorder="0" applyAlignment="0" applyProtection="0"/>
    <xf numFmtId="39" fontId="8" fillId="9" borderId="0" applyBorder="0" applyAlignment="0" applyProtection="0"/>
    <xf numFmtId="39" fontId="7" fillId="9" borderId="0" applyBorder="0" applyAlignment="0" applyProtection="0"/>
    <xf numFmtId="39" fontId="8" fillId="9" borderId="0" applyBorder="0" applyAlignment="0" applyProtection="0"/>
    <xf numFmtId="39" fontId="7" fillId="9" borderId="0" applyBorder="0" applyAlignment="0" applyProtection="0"/>
    <xf numFmtId="39" fontId="8" fillId="9" borderId="0" applyBorder="0" applyAlignment="0" applyProtection="0"/>
    <xf numFmtId="39" fontId="7" fillId="9" borderId="0" applyBorder="0" applyAlignment="0" applyProtection="0"/>
    <xf numFmtId="39" fontId="8" fillId="8" borderId="0" applyBorder="0" applyAlignment="0" applyProtection="0"/>
    <xf numFmtId="39" fontId="7" fillId="8" borderId="0" applyBorder="0" applyAlignment="0" applyProtection="0"/>
    <xf numFmtId="39" fontId="7" fillId="8" borderId="0" applyBorder="0" applyAlignment="0" applyProtection="0"/>
    <xf numFmtId="39" fontId="8" fillId="4" borderId="0" applyBorder="0" applyAlignment="0" applyProtection="0"/>
    <xf numFmtId="39" fontId="8" fillId="4" borderId="0" applyBorder="0" applyAlignment="0" applyProtection="0"/>
    <xf numFmtId="39" fontId="8" fillId="4" borderId="0" applyBorder="0" applyAlignment="0" applyProtection="0"/>
    <xf numFmtId="39" fontId="7" fillId="4" borderId="0" applyBorder="0" applyAlignment="0" applyProtection="0"/>
    <xf numFmtId="39" fontId="7" fillId="4" borderId="0" applyBorder="0" applyAlignment="0" applyProtection="0"/>
    <xf numFmtId="39" fontId="8" fillId="4" borderId="0" applyBorder="0" applyAlignment="0" applyProtection="0"/>
    <xf numFmtId="39" fontId="7" fillId="4" borderId="0" applyBorder="0" applyAlignment="0" applyProtection="0"/>
    <xf numFmtId="39" fontId="8" fillId="4" borderId="0" applyBorder="0" applyAlignment="0" applyProtection="0"/>
    <xf numFmtId="39" fontId="7" fillId="4" borderId="0" applyBorder="0" applyAlignment="0" applyProtection="0"/>
    <xf numFmtId="39" fontId="8" fillId="4" borderId="0" applyBorder="0" applyAlignment="0" applyProtection="0"/>
    <xf numFmtId="39" fontId="7" fillId="4" borderId="0" applyBorder="0" applyAlignment="0" applyProtection="0"/>
    <xf numFmtId="39" fontId="8" fillId="4" borderId="0" applyBorder="0" applyAlignment="0" applyProtection="0"/>
    <xf numFmtId="39" fontId="7" fillId="4" borderId="0" applyBorder="0" applyAlignment="0" applyProtection="0"/>
    <xf numFmtId="39" fontId="7" fillId="4" borderId="0" applyBorder="0" applyAlignment="0" applyProtection="0"/>
    <xf numFmtId="39" fontId="8" fillId="10" borderId="0" applyBorder="0" applyAlignment="0" applyProtection="0"/>
    <xf numFmtId="39" fontId="8" fillId="10" borderId="0" applyBorder="0" applyAlignment="0" applyProtection="0"/>
    <xf numFmtId="39" fontId="8" fillId="10" borderId="0" applyBorder="0" applyAlignment="0" applyProtection="0"/>
    <xf numFmtId="39" fontId="7" fillId="10" borderId="0" applyBorder="0" applyAlignment="0" applyProtection="0"/>
    <xf numFmtId="39" fontId="7" fillId="10" borderId="0" applyBorder="0" applyAlignment="0" applyProtection="0"/>
    <xf numFmtId="39" fontId="8" fillId="10" borderId="0" applyBorder="0" applyAlignment="0" applyProtection="0"/>
    <xf numFmtId="39" fontId="7" fillId="10" borderId="0" applyBorder="0" applyAlignment="0" applyProtection="0"/>
    <xf numFmtId="39" fontId="8" fillId="10" borderId="0" applyBorder="0" applyAlignment="0" applyProtection="0"/>
    <xf numFmtId="39" fontId="7" fillId="10" borderId="0" applyBorder="0" applyAlignment="0" applyProtection="0"/>
    <xf numFmtId="39" fontId="8" fillId="10" borderId="0" applyBorder="0" applyAlignment="0" applyProtection="0"/>
    <xf numFmtId="39" fontId="7" fillId="10" borderId="0" applyBorder="0" applyAlignment="0" applyProtection="0"/>
    <xf numFmtId="39" fontId="8" fillId="10" borderId="0" applyBorder="0" applyAlignment="0" applyProtection="0"/>
    <xf numFmtId="39" fontId="7" fillId="10" borderId="0" applyBorder="0" applyAlignment="0" applyProtection="0"/>
    <xf numFmtId="39" fontId="7" fillId="10" borderId="0" applyBorder="0" applyAlignment="0" applyProtection="0"/>
    <xf numFmtId="39" fontId="8" fillId="11" borderId="0" applyBorder="0" applyAlignment="0" applyProtection="0"/>
    <xf numFmtId="39" fontId="8" fillId="11" borderId="0" applyBorder="0" applyAlignment="0" applyProtection="0"/>
    <xf numFmtId="39" fontId="8" fillId="11" borderId="0" applyBorder="0" applyAlignment="0" applyProtection="0"/>
    <xf numFmtId="39" fontId="7" fillId="11" borderId="0" applyBorder="0" applyAlignment="0" applyProtection="0"/>
    <xf numFmtId="39" fontId="7" fillId="11" borderId="0" applyBorder="0" applyAlignment="0" applyProtection="0"/>
    <xf numFmtId="39" fontId="8" fillId="11" borderId="0" applyBorder="0" applyAlignment="0" applyProtection="0"/>
    <xf numFmtId="39" fontId="7" fillId="11" borderId="0" applyBorder="0" applyAlignment="0" applyProtection="0"/>
    <xf numFmtId="39" fontId="8" fillId="11" borderId="0" applyBorder="0" applyAlignment="0" applyProtection="0"/>
    <xf numFmtId="39" fontId="7" fillId="11" borderId="0" applyBorder="0" applyAlignment="0" applyProtection="0"/>
    <xf numFmtId="39" fontId="8" fillId="11" borderId="0" applyBorder="0" applyAlignment="0" applyProtection="0"/>
    <xf numFmtId="39" fontId="7" fillId="11" borderId="0" applyBorder="0" applyAlignment="0" applyProtection="0"/>
    <xf numFmtId="39" fontId="8" fillId="11" borderId="0" applyBorder="0" applyAlignment="0" applyProtection="0"/>
    <xf numFmtId="39" fontId="7" fillId="11" borderId="0" applyBorder="0" applyAlignment="0" applyProtection="0"/>
    <xf numFmtId="39" fontId="7" fillId="11" borderId="0" applyBorder="0" applyAlignment="0" applyProtection="0"/>
    <xf numFmtId="39" fontId="8" fillId="8" borderId="0" applyBorder="0" applyAlignment="0" applyProtection="0"/>
    <xf numFmtId="39" fontId="8" fillId="9" borderId="0" applyBorder="0" applyAlignment="0" applyProtection="0"/>
    <xf numFmtId="39" fontId="8" fillId="9" borderId="0" applyBorder="0" applyAlignment="0" applyProtection="0"/>
    <xf numFmtId="39" fontId="7" fillId="9" borderId="0" applyBorder="0" applyAlignment="0" applyProtection="0"/>
    <xf numFmtId="39" fontId="8" fillId="8" borderId="0" applyBorder="0" applyAlignment="0" applyProtection="0"/>
    <xf numFmtId="39" fontId="7" fillId="8" borderId="0" applyBorder="0" applyAlignment="0" applyProtection="0"/>
    <xf numFmtId="39" fontId="7" fillId="9" borderId="0" applyBorder="0" applyAlignment="0" applyProtection="0"/>
    <xf numFmtId="39" fontId="8" fillId="9" borderId="0" applyBorder="0" applyAlignment="0" applyProtection="0"/>
    <xf numFmtId="39" fontId="7" fillId="9" borderId="0" applyBorder="0" applyAlignment="0" applyProtection="0"/>
    <xf numFmtId="39" fontId="8" fillId="9" borderId="0" applyBorder="0" applyAlignment="0" applyProtection="0"/>
    <xf numFmtId="39" fontId="7" fillId="9" borderId="0" applyBorder="0" applyAlignment="0" applyProtection="0"/>
    <xf numFmtId="39" fontId="8" fillId="9" borderId="0" applyBorder="0" applyAlignment="0" applyProtection="0"/>
    <xf numFmtId="39" fontId="7" fillId="9" borderId="0" applyBorder="0" applyAlignment="0" applyProtection="0"/>
    <xf numFmtId="39" fontId="8" fillId="8" borderId="0" applyBorder="0" applyAlignment="0" applyProtection="0"/>
    <xf numFmtId="39" fontId="7" fillId="8" borderId="0" applyBorder="0" applyAlignment="0" applyProtection="0"/>
    <xf numFmtId="39" fontId="7" fillId="8" borderId="0" applyBorder="0" applyAlignment="0" applyProtection="0"/>
    <xf numFmtId="39" fontId="8" fillId="5" borderId="0" applyBorder="0" applyAlignment="0" applyProtection="0"/>
    <xf numFmtId="39" fontId="8" fillId="5" borderId="0" applyBorder="0" applyAlignment="0" applyProtection="0"/>
    <xf numFmtId="39" fontId="8" fillId="5" borderId="0" applyBorder="0" applyAlignment="0" applyProtection="0"/>
    <xf numFmtId="39" fontId="7" fillId="5" borderId="0" applyBorder="0" applyAlignment="0" applyProtection="0"/>
    <xf numFmtId="39" fontId="7" fillId="5" borderId="0" applyBorder="0" applyAlignment="0" applyProtection="0"/>
    <xf numFmtId="39" fontId="8" fillId="5" borderId="0" applyBorder="0" applyAlignment="0" applyProtection="0"/>
    <xf numFmtId="39" fontId="7" fillId="5" borderId="0" applyBorder="0" applyAlignment="0" applyProtection="0"/>
    <xf numFmtId="39" fontId="8" fillId="5" borderId="0" applyBorder="0" applyAlignment="0" applyProtection="0"/>
    <xf numFmtId="39" fontId="7" fillId="5" borderId="0" applyBorder="0" applyAlignment="0" applyProtection="0"/>
    <xf numFmtId="39" fontId="8" fillId="5" borderId="0" applyBorder="0" applyAlignment="0" applyProtection="0"/>
    <xf numFmtId="39" fontId="7" fillId="5" borderId="0" applyBorder="0" applyAlignment="0" applyProtection="0"/>
    <xf numFmtId="39" fontId="8" fillId="5" borderId="0" applyBorder="0" applyAlignment="0" applyProtection="0"/>
    <xf numFmtId="39" fontId="7" fillId="5" borderId="0" applyBorder="0" applyAlignment="0" applyProtection="0"/>
    <xf numFmtId="39" fontId="7" fillId="5" borderId="0" applyBorder="0" applyAlignment="0" applyProtection="0"/>
    <xf numFmtId="39" fontId="9" fillId="8" borderId="0" applyBorder="0" applyAlignment="0" applyProtection="0"/>
    <xf numFmtId="39" fontId="9" fillId="9" borderId="0" applyBorder="0" applyAlignment="0" applyProtection="0"/>
    <xf numFmtId="39" fontId="9" fillId="9" borderId="0" applyBorder="0" applyAlignment="0" applyProtection="0"/>
    <xf numFmtId="39" fontId="9" fillId="8" borderId="0" applyBorder="0" applyAlignment="0" applyProtection="0"/>
    <xf numFmtId="39" fontId="9" fillId="9" borderId="0" applyBorder="0" applyAlignment="0" applyProtection="0"/>
    <xf numFmtId="39" fontId="9" fillId="9" borderId="0" applyBorder="0" applyAlignment="0" applyProtection="0"/>
    <xf numFmtId="39" fontId="9" fillId="9" borderId="0" applyBorder="0" applyAlignment="0" applyProtection="0"/>
    <xf numFmtId="39" fontId="9" fillId="8" borderId="0" applyBorder="0" applyAlignment="0" applyProtection="0"/>
    <xf numFmtId="39" fontId="9" fillId="8" borderId="0" applyBorder="0" applyAlignment="0" applyProtection="0"/>
    <xf numFmtId="39" fontId="9" fillId="12" borderId="0" applyBorder="0" applyAlignment="0" applyProtection="0"/>
    <xf numFmtId="39" fontId="9" fillId="12" borderId="0" applyBorder="0" applyAlignment="0" applyProtection="0"/>
    <xf numFmtId="39" fontId="9" fillId="12" borderId="0" applyBorder="0" applyAlignment="0" applyProtection="0"/>
    <xf numFmtId="39" fontId="9" fillId="12" borderId="0" applyBorder="0" applyAlignment="0" applyProtection="0"/>
    <xf numFmtId="39" fontId="9" fillId="12" borderId="0" applyBorder="0" applyAlignment="0" applyProtection="0"/>
    <xf numFmtId="39" fontId="9" fillId="12" borderId="0" applyBorder="0" applyAlignment="0" applyProtection="0"/>
    <xf numFmtId="39" fontId="9" fillId="12" borderId="0" applyBorder="0" applyAlignment="0" applyProtection="0"/>
    <xf numFmtId="39" fontId="9" fillId="12" borderId="0" applyBorder="0" applyAlignment="0" applyProtection="0"/>
    <xf numFmtId="39" fontId="9" fillId="13" borderId="0" applyBorder="0" applyAlignment="0" applyProtection="0"/>
    <xf numFmtId="39" fontId="9" fillId="13" borderId="0" applyBorder="0" applyAlignment="0" applyProtection="0"/>
    <xf numFmtId="39" fontId="9" fillId="13" borderId="0" applyBorder="0" applyAlignment="0" applyProtection="0"/>
    <xf numFmtId="39" fontId="9" fillId="13" borderId="0" applyBorder="0" applyAlignment="0" applyProtection="0"/>
    <xf numFmtId="39" fontId="9" fillId="13" borderId="0" applyBorder="0" applyAlignment="0" applyProtection="0"/>
    <xf numFmtId="39" fontId="9" fillId="13" borderId="0" applyBorder="0" applyAlignment="0" applyProtection="0"/>
    <xf numFmtId="39" fontId="9" fillId="13" borderId="0" applyBorder="0" applyAlignment="0" applyProtection="0"/>
    <xf numFmtId="39" fontId="9" fillId="13" borderId="0" applyBorder="0" applyAlignment="0" applyProtection="0"/>
    <xf numFmtId="39" fontId="9" fillId="11" borderId="0" applyBorder="0" applyAlignment="0" applyProtection="0"/>
    <xf numFmtId="39" fontId="9" fillId="11" borderId="0" applyBorder="0" applyAlignment="0" applyProtection="0"/>
    <xf numFmtId="39" fontId="9" fillId="11" borderId="0" applyBorder="0" applyAlignment="0" applyProtection="0"/>
    <xf numFmtId="39" fontId="9" fillId="11" borderId="0" applyBorder="0" applyAlignment="0" applyProtection="0"/>
    <xf numFmtId="39" fontId="9" fillId="11" borderId="0" applyBorder="0" applyAlignment="0" applyProtection="0"/>
    <xf numFmtId="39" fontId="9" fillId="11" borderId="0" applyBorder="0" applyAlignment="0" applyProtection="0"/>
    <xf numFmtId="39" fontId="9" fillId="11" borderId="0" applyBorder="0" applyAlignment="0" applyProtection="0"/>
    <xf numFmtId="39" fontId="9" fillId="11" borderId="0" applyBorder="0" applyAlignment="0" applyProtection="0"/>
    <xf numFmtId="39" fontId="9" fillId="8" borderId="0" applyBorder="0" applyAlignment="0" applyProtection="0"/>
    <xf numFmtId="39" fontId="9" fillId="9" borderId="0" applyBorder="0" applyAlignment="0" applyProtection="0"/>
    <xf numFmtId="39" fontId="9" fillId="9" borderId="0" applyBorder="0" applyAlignment="0" applyProtection="0"/>
    <xf numFmtId="39" fontId="9" fillId="8" borderId="0" applyBorder="0" applyAlignment="0" applyProtection="0"/>
    <xf numFmtId="39" fontId="9" fillId="9" borderId="0" applyBorder="0" applyAlignment="0" applyProtection="0"/>
    <xf numFmtId="39" fontId="9" fillId="9" borderId="0" applyBorder="0" applyAlignment="0" applyProtection="0"/>
    <xf numFmtId="39" fontId="9" fillId="9" borderId="0" applyBorder="0" applyAlignment="0" applyProtection="0"/>
    <xf numFmtId="39" fontId="9" fillId="8" borderId="0" applyBorder="0" applyAlignment="0" applyProtection="0"/>
    <xf numFmtId="39" fontId="9" fillId="8" borderId="0" applyBorder="0" applyAlignment="0" applyProtection="0"/>
    <xf numFmtId="39" fontId="9" fillId="4" borderId="0" applyBorder="0" applyAlignment="0" applyProtection="0"/>
    <xf numFmtId="39" fontId="9" fillId="4" borderId="0" applyBorder="0" applyAlignment="0" applyProtection="0"/>
    <xf numFmtId="39" fontId="9" fillId="4" borderId="0" applyBorder="0" applyAlignment="0" applyProtection="0"/>
    <xf numFmtId="39" fontId="9" fillId="4" borderId="0" applyBorder="0" applyAlignment="0" applyProtection="0"/>
    <xf numFmtId="39" fontId="9" fillId="4" borderId="0" applyBorder="0" applyAlignment="0" applyProtection="0"/>
    <xf numFmtId="39" fontId="9" fillId="4" borderId="0" applyBorder="0" applyAlignment="0" applyProtection="0"/>
    <xf numFmtId="39" fontId="9" fillId="4" borderId="0" applyBorder="0" applyAlignment="0" applyProtection="0"/>
    <xf numFmtId="39" fontId="9" fillId="4" borderId="0" applyBorder="0" applyAlignment="0" applyProtection="0"/>
    <xf numFmtId="39" fontId="10" fillId="8" borderId="0" applyBorder="0" applyAlignment="0" applyProtection="0"/>
    <xf numFmtId="39" fontId="10" fillId="9" borderId="0" applyBorder="0" applyAlignment="0" applyProtection="0"/>
    <xf numFmtId="39" fontId="10" fillId="9" borderId="0" applyBorder="0" applyAlignment="0" applyProtection="0"/>
    <xf numFmtId="39" fontId="10" fillId="8" borderId="0" applyBorder="0" applyAlignment="0" applyProtection="0"/>
    <xf numFmtId="39" fontId="10" fillId="9" borderId="0" applyBorder="0" applyAlignment="0" applyProtection="0"/>
    <xf numFmtId="39" fontId="10" fillId="9" borderId="0" applyBorder="0" applyAlignment="0" applyProtection="0"/>
    <xf numFmtId="39" fontId="10" fillId="9" borderId="0" applyBorder="0" applyAlignment="0" applyProtection="0"/>
    <xf numFmtId="39" fontId="10" fillId="8" borderId="0" applyBorder="0" applyAlignment="0" applyProtection="0"/>
    <xf numFmtId="39" fontId="10" fillId="8" borderId="0" applyBorder="0" applyAlignment="0" applyProtection="0"/>
    <xf numFmtId="39" fontId="11" fillId="14" borderId="1" applyAlignment="0" applyProtection="0"/>
    <xf numFmtId="39" fontId="11" fillId="14" borderId="1" applyAlignment="0" applyProtection="0"/>
    <xf numFmtId="39" fontId="11" fillId="14" borderId="1" applyAlignment="0" applyProtection="0"/>
    <xf numFmtId="39" fontId="11" fillId="14" borderId="1" applyAlignment="0" applyProtection="0"/>
    <xf numFmtId="39" fontId="11" fillId="14" borderId="1" applyAlignment="0" applyProtection="0"/>
    <xf numFmtId="39" fontId="11" fillId="14" borderId="1" applyAlignment="0" applyProtection="0"/>
    <xf numFmtId="39" fontId="11" fillId="14" borderId="1" applyAlignment="0" applyProtection="0"/>
    <xf numFmtId="39" fontId="11" fillId="14" borderId="1" applyAlignment="0" applyProtection="0"/>
    <xf numFmtId="39" fontId="12" fillId="15" borderId="2" applyAlignment="0" applyProtection="0"/>
    <xf numFmtId="39" fontId="12" fillId="15" borderId="2" applyAlignment="0" applyProtection="0"/>
    <xf numFmtId="39" fontId="12" fillId="15" borderId="2" applyAlignment="0" applyProtection="0"/>
    <xf numFmtId="39" fontId="12" fillId="15" borderId="2" applyAlignment="0" applyProtection="0"/>
    <xf numFmtId="39" fontId="12" fillId="15" borderId="2" applyAlignment="0" applyProtection="0"/>
    <xf numFmtId="39" fontId="12" fillId="15" borderId="2" applyAlignment="0" applyProtection="0"/>
    <xf numFmtId="39" fontId="12" fillId="15" borderId="2" applyAlignment="0" applyProtection="0"/>
    <xf numFmtId="39" fontId="12" fillId="15" borderId="2" applyAlignment="0" applyProtection="0"/>
    <xf numFmtId="39" fontId="13" fillId="0" borderId="3" applyFill="0" applyAlignment="0" applyProtection="0"/>
    <xf numFmtId="39" fontId="13" fillId="0" borderId="3" applyFill="0" applyAlignment="0" applyProtection="0"/>
    <xf numFmtId="39" fontId="13" fillId="0" borderId="3" applyFill="0" applyAlignment="0" applyProtection="0"/>
    <xf numFmtId="39" fontId="13" fillId="0" borderId="3" applyFill="0" applyAlignment="0" applyProtection="0"/>
    <xf numFmtId="39" fontId="13" fillId="0" borderId="3" applyFill="0" applyAlignment="0" applyProtection="0"/>
    <xf numFmtId="39" fontId="13" fillId="0" borderId="3" applyFill="0" applyAlignment="0" applyProtection="0"/>
    <xf numFmtId="39" fontId="13" fillId="0" borderId="3" applyFill="0" applyAlignment="0" applyProtection="0"/>
    <xf numFmtId="39" fontId="13" fillId="0" borderId="3" applyFill="0" applyAlignment="0" applyProtection="0"/>
    <xf numFmtId="39" fontId="14" fillId="0" borderId="0" applyFill="0" applyBorder="0" applyAlignment="0" applyProtection="0"/>
    <xf numFmtId="39" fontId="14" fillId="0" borderId="0" applyFill="0" applyBorder="0" applyAlignment="0" applyProtection="0"/>
    <xf numFmtId="39" fontId="14" fillId="0" borderId="0" applyFill="0" applyBorder="0" applyAlignment="0" applyProtection="0"/>
    <xf numFmtId="39" fontId="14" fillId="0" borderId="0" applyFill="0" applyBorder="0" applyAlignment="0" applyProtection="0"/>
    <xf numFmtId="39" fontId="14" fillId="0" borderId="0" applyFill="0" applyBorder="0" applyAlignment="0" applyProtection="0"/>
    <xf numFmtId="39" fontId="14" fillId="0" borderId="0" applyFill="0" applyBorder="0" applyAlignment="0" applyProtection="0"/>
    <xf numFmtId="39" fontId="14" fillId="0" borderId="0" applyFill="0" applyBorder="0" applyAlignment="0" applyProtection="0"/>
    <xf numFmtId="39" fontId="14" fillId="0" borderId="0" applyFill="0" applyBorder="0" applyAlignment="0" applyProtection="0"/>
    <xf numFmtId="39" fontId="9" fillId="16" borderId="0" applyBorder="0" applyAlignment="0" applyProtection="0"/>
    <xf numFmtId="39" fontId="9" fillId="16" borderId="0" applyBorder="0" applyAlignment="0" applyProtection="0"/>
    <xf numFmtId="39" fontId="9" fillId="16" borderId="0" applyBorder="0" applyAlignment="0" applyProtection="0"/>
    <xf numFmtId="39" fontId="9" fillId="16" borderId="0" applyBorder="0" applyAlignment="0" applyProtection="0"/>
    <xf numFmtId="39" fontId="9" fillId="16" borderId="0" applyBorder="0" applyAlignment="0" applyProtection="0"/>
    <xf numFmtId="39" fontId="9" fillId="16" borderId="0" applyBorder="0" applyAlignment="0" applyProtection="0"/>
    <xf numFmtId="39" fontId="9" fillId="16" borderId="0" applyBorder="0" applyAlignment="0" applyProtection="0"/>
    <xf numFmtId="39" fontId="9" fillId="16" borderId="0" applyBorder="0" applyAlignment="0" applyProtection="0"/>
    <xf numFmtId="39" fontId="9" fillId="12" borderId="0" applyBorder="0" applyAlignment="0" applyProtection="0"/>
    <xf numFmtId="39" fontId="9" fillId="12" borderId="0" applyBorder="0" applyAlignment="0" applyProtection="0"/>
    <xf numFmtId="39" fontId="9" fillId="12" borderId="0" applyBorder="0" applyAlignment="0" applyProtection="0"/>
    <xf numFmtId="39" fontId="9" fillId="12" borderId="0" applyBorder="0" applyAlignment="0" applyProtection="0"/>
    <xf numFmtId="39" fontId="9" fillId="12" borderId="0" applyBorder="0" applyAlignment="0" applyProtection="0"/>
    <xf numFmtId="39" fontId="9" fillId="12" borderId="0" applyBorder="0" applyAlignment="0" applyProtection="0"/>
    <xf numFmtId="39" fontId="9" fillId="12" borderId="0" applyBorder="0" applyAlignment="0" applyProtection="0"/>
    <xf numFmtId="39" fontId="9" fillId="12" borderId="0" applyBorder="0" applyAlignment="0" applyProtection="0"/>
    <xf numFmtId="39" fontId="9" fillId="13" borderId="0" applyBorder="0" applyAlignment="0" applyProtection="0"/>
    <xf numFmtId="39" fontId="9" fillId="13" borderId="0" applyBorder="0" applyAlignment="0" applyProtection="0"/>
    <xf numFmtId="39" fontId="9" fillId="13" borderId="0" applyBorder="0" applyAlignment="0" applyProtection="0"/>
    <xf numFmtId="39" fontId="9" fillId="13" borderId="0" applyBorder="0" applyAlignment="0" applyProtection="0"/>
    <xf numFmtId="39" fontId="9" fillId="13" borderId="0" applyBorder="0" applyAlignment="0" applyProtection="0"/>
    <xf numFmtId="39" fontId="9" fillId="13" borderId="0" applyBorder="0" applyAlignment="0" applyProtection="0"/>
    <xf numFmtId="39" fontId="9" fillId="13" borderId="0" applyBorder="0" applyAlignment="0" applyProtection="0"/>
    <xf numFmtId="39" fontId="9" fillId="13" borderId="0" applyBorder="0" applyAlignment="0" applyProtection="0"/>
    <xf numFmtId="39" fontId="9" fillId="17" borderId="0" applyBorder="0" applyAlignment="0" applyProtection="0"/>
    <xf numFmtId="39" fontId="9" fillId="17" borderId="0" applyBorder="0" applyAlignment="0" applyProtection="0"/>
    <xf numFmtId="39" fontId="9" fillId="17" borderId="0" applyBorder="0" applyAlignment="0" applyProtection="0"/>
    <xf numFmtId="39" fontId="9" fillId="17" borderId="0" applyBorder="0" applyAlignment="0" applyProtection="0"/>
    <xf numFmtId="39" fontId="9" fillId="17" borderId="0" applyBorder="0" applyAlignment="0" applyProtection="0"/>
    <xf numFmtId="39" fontId="9" fillId="17" borderId="0" applyBorder="0" applyAlignment="0" applyProtection="0"/>
    <xf numFmtId="39" fontId="9" fillId="17" borderId="0" applyBorder="0" applyAlignment="0" applyProtection="0"/>
    <xf numFmtId="39" fontId="9" fillId="17" borderId="0" applyBorder="0" applyAlignment="0" applyProtection="0"/>
    <xf numFmtId="39" fontId="9" fillId="18" borderId="0" applyBorder="0" applyAlignment="0" applyProtection="0"/>
    <xf numFmtId="39" fontId="9" fillId="18" borderId="0" applyBorder="0" applyAlignment="0" applyProtection="0"/>
    <xf numFmtId="39" fontId="9" fillId="18" borderId="0" applyBorder="0" applyAlignment="0" applyProtection="0"/>
    <xf numFmtId="39" fontId="9" fillId="18" borderId="0" applyBorder="0" applyAlignment="0" applyProtection="0"/>
    <xf numFmtId="39" fontId="9" fillId="18" borderId="0" applyBorder="0" applyAlignment="0" applyProtection="0"/>
    <xf numFmtId="39" fontId="9" fillId="18" borderId="0" applyBorder="0" applyAlignment="0" applyProtection="0"/>
    <xf numFmtId="39" fontId="9" fillId="18" borderId="0" applyBorder="0" applyAlignment="0" applyProtection="0"/>
    <xf numFmtId="39" fontId="9" fillId="18" borderId="0" applyBorder="0" applyAlignment="0" applyProtection="0"/>
    <xf numFmtId="39" fontId="9" fillId="19" borderId="0" applyBorder="0" applyAlignment="0" applyProtection="0"/>
    <xf numFmtId="39" fontId="9" fillId="20" borderId="0" applyBorder="0" applyAlignment="0" applyProtection="0"/>
    <xf numFmtId="39" fontId="9" fillId="20" borderId="0" applyBorder="0" applyAlignment="0" applyProtection="0"/>
    <xf numFmtId="39" fontId="9" fillId="19" borderId="0" applyBorder="0" applyAlignment="0" applyProtection="0"/>
    <xf numFmtId="39" fontId="9" fillId="20" borderId="0" applyBorder="0" applyAlignment="0" applyProtection="0"/>
    <xf numFmtId="39" fontId="9" fillId="20" borderId="0" applyBorder="0" applyAlignment="0" applyProtection="0"/>
    <xf numFmtId="39" fontId="9" fillId="20" borderId="0" applyBorder="0" applyAlignment="0" applyProtection="0"/>
    <xf numFmtId="39" fontId="9" fillId="19" borderId="0" applyBorder="0" applyAlignment="0" applyProtection="0"/>
    <xf numFmtId="39" fontId="9" fillId="19" borderId="0" applyBorder="0" applyAlignment="0" applyProtection="0"/>
    <xf numFmtId="39" fontId="15" fillId="10" borderId="1" applyAlignment="0" applyProtection="0"/>
    <xf numFmtId="39" fontId="15" fillId="10" borderId="1" applyAlignment="0" applyProtection="0"/>
    <xf numFmtId="39" fontId="15" fillId="10" borderId="1" applyAlignment="0" applyProtection="0"/>
    <xf numFmtId="39" fontId="15" fillId="10" borderId="1" applyAlignment="0" applyProtection="0"/>
    <xf numFmtId="39" fontId="15" fillId="10" borderId="1" applyAlignment="0" applyProtection="0"/>
    <xf numFmtId="39" fontId="15" fillId="10" borderId="1" applyAlignment="0" applyProtection="0"/>
    <xf numFmtId="39" fontId="15" fillId="10" borderId="1" applyAlignment="0" applyProtection="0"/>
    <xf numFmtId="39" fontId="15" fillId="10" borderId="1" applyAlignment="0" applyProtection="0"/>
    <xf numFmtId="39" fontId="16" fillId="21" borderId="0" applyBorder="0" applyAlignment="0" applyProtection="0"/>
    <xf numFmtId="39" fontId="16" fillId="21" borderId="0" applyBorder="0" applyAlignment="0" applyProtection="0"/>
    <xf numFmtId="39" fontId="16" fillId="21" borderId="0" applyBorder="0" applyAlignment="0" applyProtection="0"/>
    <xf numFmtId="39" fontId="16" fillId="21" borderId="0" applyBorder="0" applyAlignment="0" applyProtection="0"/>
    <xf numFmtId="39" fontId="16" fillId="21" borderId="0" applyBorder="0" applyAlignment="0" applyProtection="0"/>
    <xf numFmtId="39" fontId="16" fillId="21" borderId="0" applyBorder="0" applyAlignment="0" applyProtection="0"/>
    <xf numFmtId="39" fontId="16" fillId="21" borderId="0" applyBorder="0" applyAlignment="0" applyProtection="0"/>
    <xf numFmtId="39" fontId="16" fillId="21" borderId="0" applyBorder="0" applyAlignment="0" applyProtection="0"/>
    <xf numFmtId="40" fontId="30" fillId="0" borderId="0" applyFill="0" applyBorder="0" applyAlignment="0" applyProtection="0"/>
    <xf numFmtId="38" fontId="30" fillId="0" borderId="0" applyFill="0" applyBorder="0" applyAlignment="0" applyProtection="0"/>
    <xf numFmtId="38" fontId="30" fillId="0" borderId="0" applyFill="0" applyBorder="0" applyAlignment="0" applyProtection="0"/>
    <xf numFmtId="40" fontId="30" fillId="0" borderId="0" applyFill="0" applyBorder="0" applyAlignment="0" applyProtection="0"/>
    <xf numFmtId="164" fontId="109" fillId="0" borderId="0" applyFont="0" applyFill="0" applyBorder="0" applyAlignment="0" applyProtection="0"/>
    <xf numFmtId="164" fontId="109" fillId="0" borderId="0" applyFont="0" applyFill="0" applyBorder="0" applyAlignment="0" applyProtection="0"/>
    <xf numFmtId="164" fontId="109" fillId="0" borderId="0" applyFont="0" applyFill="0" applyBorder="0" applyAlignment="0" applyProtection="0"/>
    <xf numFmtId="164" fontId="109" fillId="0" borderId="0" applyFont="0" applyFill="0" applyBorder="0" applyAlignment="0" applyProtection="0"/>
    <xf numFmtId="164" fontId="109" fillId="0" borderId="0" applyFont="0" applyFill="0" applyBorder="0" applyAlignment="0" applyProtection="0"/>
    <xf numFmtId="164" fontId="109" fillId="0" borderId="0" applyFont="0" applyFill="0" applyBorder="0" applyAlignment="0" applyProtection="0"/>
    <xf numFmtId="164" fontId="109" fillId="0" borderId="0" applyFont="0" applyFill="0" applyBorder="0" applyAlignment="0" applyProtection="0"/>
    <xf numFmtId="164" fontId="109" fillId="0" borderId="0" applyFont="0" applyFill="0" applyBorder="0" applyAlignment="0" applyProtection="0"/>
    <xf numFmtId="164" fontId="109" fillId="0" borderId="0" applyFont="0" applyFill="0" applyBorder="0" applyAlignment="0" applyProtection="0"/>
    <xf numFmtId="40" fontId="30" fillId="0" borderId="0" applyFill="0" applyBorder="0" applyAlignment="0" applyProtection="0"/>
    <xf numFmtId="40" fontId="30" fillId="0" borderId="0" applyFill="0" applyBorder="0" applyAlignment="0" applyProtection="0"/>
    <xf numFmtId="164" fontId="109" fillId="0" borderId="0" applyFont="0" applyFill="0" applyBorder="0" applyAlignment="0" applyProtection="0"/>
    <xf numFmtId="164" fontId="109" fillId="0" borderId="0" applyFont="0" applyFill="0" applyBorder="0" applyAlignment="0" applyProtection="0"/>
    <xf numFmtId="164" fontId="109" fillId="0" borderId="0" applyFont="0" applyFill="0" applyBorder="0" applyAlignment="0" applyProtection="0"/>
    <xf numFmtId="164" fontId="109" fillId="0" borderId="0" applyFont="0" applyFill="0" applyBorder="0" applyAlignment="0" applyProtection="0"/>
    <xf numFmtId="164" fontId="109" fillId="0" borderId="0" applyFont="0" applyFill="0" applyBorder="0" applyAlignment="0" applyProtection="0"/>
    <xf numFmtId="164" fontId="109" fillId="0" borderId="0" applyFont="0" applyFill="0" applyBorder="0" applyAlignment="0" applyProtection="0"/>
    <xf numFmtId="164" fontId="109" fillId="0" borderId="0" applyFont="0" applyFill="0" applyBorder="0" applyAlignment="0" applyProtection="0"/>
    <xf numFmtId="164" fontId="109" fillId="0" borderId="0" applyFont="0" applyFill="0" applyBorder="0" applyAlignment="0" applyProtection="0"/>
    <xf numFmtId="164" fontId="109" fillId="0" borderId="0" applyFont="0" applyFill="0" applyBorder="0" applyAlignment="0" applyProtection="0"/>
    <xf numFmtId="164" fontId="109" fillId="0" borderId="0" applyFont="0" applyFill="0" applyBorder="0" applyAlignment="0" applyProtection="0"/>
    <xf numFmtId="40" fontId="30" fillId="0" borderId="0" applyFill="0" applyBorder="0" applyAlignment="0" applyProtection="0"/>
    <xf numFmtId="164" fontId="109" fillId="0" borderId="0" applyFont="0" applyFill="0" applyBorder="0" applyAlignment="0" applyProtection="0"/>
    <xf numFmtId="164" fontId="109" fillId="0" borderId="0" applyFont="0" applyFill="0" applyBorder="0" applyAlignment="0" applyProtection="0"/>
    <xf numFmtId="164" fontId="109" fillId="0" borderId="0" applyFont="0" applyFill="0" applyBorder="0" applyAlignment="0" applyProtection="0"/>
    <xf numFmtId="165" fontId="27" fillId="0" borderId="0" applyFill="0" applyBorder="0" applyAlignment="0" applyProtection="0"/>
    <xf numFmtId="164" fontId="109" fillId="0" borderId="0" applyFont="0" applyFill="0" applyBorder="0" applyAlignment="0" applyProtection="0"/>
    <xf numFmtId="40" fontId="30" fillId="0" borderId="0" applyFill="0" applyBorder="0" applyAlignment="0" applyProtection="0"/>
    <xf numFmtId="0" fontId="31" fillId="0" borderId="0" applyNumberFormat="0" applyFont="0" applyFill="0" applyBorder="0" applyProtection="0">
      <alignment vertical="center"/>
    </xf>
    <xf numFmtId="166" fontId="109" fillId="0" borderId="0" applyFont="0" applyFill="0" applyBorder="0" applyAlignment="0" applyProtection="0"/>
    <xf numFmtId="40" fontId="30" fillId="0" borderId="0" applyFill="0" applyBorder="0" applyAlignment="0" applyProtection="0"/>
    <xf numFmtId="164" fontId="109" fillId="0" borderId="0" applyFont="0" applyFill="0" applyBorder="0" applyAlignment="0" applyProtection="0"/>
    <xf numFmtId="39" fontId="17" fillId="10" borderId="0" applyBorder="0" applyAlignment="0" applyProtection="0"/>
    <xf numFmtId="39" fontId="17" fillId="10" borderId="0" applyBorder="0" applyAlignment="0" applyProtection="0"/>
    <xf numFmtId="39" fontId="17" fillId="10" borderId="0" applyBorder="0" applyAlignment="0" applyProtection="0"/>
    <xf numFmtId="39" fontId="17" fillId="10" borderId="0" applyBorder="0" applyAlignment="0" applyProtection="0"/>
    <xf numFmtId="39" fontId="17" fillId="10" borderId="0" applyBorder="0" applyAlignment="0" applyProtection="0"/>
    <xf numFmtId="39" fontId="17" fillId="10" borderId="0" applyBorder="0" applyAlignment="0" applyProtection="0"/>
    <xf numFmtId="39" fontId="17" fillId="10" borderId="0" applyBorder="0" applyAlignment="0" applyProtection="0"/>
    <xf numFmtId="39" fontId="17" fillId="10" borderId="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3" fillId="0" borderId="0"/>
    <xf numFmtId="0" fontId="31" fillId="0" borderId="0"/>
    <xf numFmtId="0" fontId="31" fillId="0" borderId="0"/>
    <xf numFmtId="0" fontId="109" fillId="0" borderId="0"/>
    <xf numFmtId="0" fontId="31" fillId="0" borderId="0"/>
    <xf numFmtId="0" fontId="31" fillId="0" borderId="0"/>
    <xf numFmtId="0" fontId="31" fillId="0" borderId="0"/>
    <xf numFmtId="0" fontId="60" fillId="0" borderId="0"/>
    <xf numFmtId="0" fontId="31" fillId="0" borderId="0"/>
    <xf numFmtId="0" fontId="72" fillId="0" borderId="0"/>
    <xf numFmtId="0" fontId="31" fillId="0" borderId="0"/>
    <xf numFmtId="0" fontId="31" fillId="0" borderId="0"/>
    <xf numFmtId="39" fontId="30" fillId="0" borderId="0"/>
    <xf numFmtId="39" fontId="30" fillId="0" borderId="0"/>
    <xf numFmtId="0" fontId="65" fillId="0" borderId="0"/>
    <xf numFmtId="0" fontId="31" fillId="0" borderId="0"/>
    <xf numFmtId="39" fontId="30" fillId="0" borderId="0"/>
    <xf numFmtId="0" fontId="66" fillId="0" borderId="0"/>
    <xf numFmtId="0" fontId="31" fillId="0" borderId="0"/>
    <xf numFmtId="0" fontId="67" fillId="0" borderId="0"/>
    <xf numFmtId="0" fontId="31" fillId="0" borderId="0"/>
    <xf numFmtId="0" fontId="72" fillId="0" borderId="0"/>
    <xf numFmtId="0" fontId="31" fillId="0" borderId="0"/>
    <xf numFmtId="0" fontId="78" fillId="0" borderId="0"/>
    <xf numFmtId="0" fontId="31" fillId="0" borderId="0"/>
    <xf numFmtId="0" fontId="79" fillId="0" borderId="0"/>
    <xf numFmtId="0" fontId="31" fillId="0" borderId="0"/>
    <xf numFmtId="0" fontId="80" fillId="0" borderId="0"/>
    <xf numFmtId="0" fontId="31" fillId="0" borderId="0"/>
    <xf numFmtId="0" fontId="109" fillId="0" borderId="0"/>
    <xf numFmtId="0" fontId="85" fillId="0" borderId="0"/>
    <xf numFmtId="0" fontId="31" fillId="0" borderId="0"/>
    <xf numFmtId="0" fontId="39" fillId="0" borderId="0"/>
    <xf numFmtId="39" fontId="30" fillId="0" borderId="0"/>
    <xf numFmtId="0" fontId="31" fillId="0" borderId="0"/>
    <xf numFmtId="0" fontId="31" fillId="0" borderId="0"/>
    <xf numFmtId="0" fontId="86" fillId="0" borderId="0"/>
    <xf numFmtId="0" fontId="31" fillId="0" borderId="0"/>
    <xf numFmtId="0" fontId="87" fillId="0" borderId="0"/>
    <xf numFmtId="0" fontId="31" fillId="0" borderId="0"/>
    <xf numFmtId="0" fontId="88" fillId="0" borderId="0"/>
    <xf numFmtId="0" fontId="31" fillId="0" borderId="0"/>
    <xf numFmtId="0" fontId="89" fillId="0" borderId="0"/>
    <xf numFmtId="0" fontId="31" fillId="0" borderId="0"/>
    <xf numFmtId="0" fontId="109" fillId="0" borderId="0"/>
    <xf numFmtId="39" fontId="30" fillId="0" borderId="0"/>
    <xf numFmtId="0" fontId="49" fillId="0" borderId="0"/>
    <xf numFmtId="0" fontId="31" fillId="0" borderId="0"/>
    <xf numFmtId="0" fontId="31" fillId="0" borderId="0"/>
    <xf numFmtId="0" fontId="50" fillId="0" borderId="0"/>
    <xf numFmtId="0" fontId="31" fillId="0" borderId="0"/>
    <xf numFmtId="0" fontId="31" fillId="0" borderId="0"/>
    <xf numFmtId="0" fontId="51" fillId="0" borderId="0"/>
    <xf numFmtId="0" fontId="31" fillId="0" borderId="0"/>
    <xf numFmtId="0" fontId="31" fillId="0" borderId="0"/>
    <xf numFmtId="0" fontId="52" fillId="0" borderId="0"/>
    <xf numFmtId="0" fontId="31" fillId="0" borderId="0"/>
    <xf numFmtId="0" fontId="31" fillId="0" borderId="0"/>
    <xf numFmtId="0" fontId="31" fillId="0" borderId="0"/>
    <xf numFmtId="0" fontId="31" fillId="0" borderId="0"/>
    <xf numFmtId="39" fontId="30" fillId="0" borderId="0"/>
    <xf numFmtId="0" fontId="27" fillId="0" borderId="0"/>
    <xf numFmtId="0" fontId="27" fillId="0" borderId="0"/>
    <xf numFmtId="39" fontId="30" fillId="5" borderId="4" applyAlignment="0" applyProtection="0"/>
    <xf numFmtId="39" fontId="30" fillId="5" borderId="4" applyAlignment="0" applyProtection="0"/>
    <xf numFmtId="39" fontId="30" fillId="5" borderId="4" applyAlignment="0" applyProtection="0"/>
    <xf numFmtId="39" fontId="30" fillId="5" borderId="4" applyAlignment="0" applyProtection="0"/>
    <xf numFmtId="39" fontId="30" fillId="5" borderId="4" applyAlignment="0" applyProtection="0"/>
    <xf numFmtId="39" fontId="30" fillId="5" borderId="4" applyAlignment="0" applyProtection="0"/>
    <xf numFmtId="39" fontId="30" fillId="5" borderId="4" applyAlignment="0" applyProtection="0"/>
    <xf numFmtId="39" fontId="30" fillId="5" borderId="4" applyAlignment="0" applyProtection="0"/>
    <xf numFmtId="9" fontId="30" fillId="0" borderId="0" applyFill="0" applyBorder="0" applyAlignment="0" applyProtection="0"/>
    <xf numFmtId="9" fontId="35" fillId="0" borderId="0" applyFont="0" applyFill="0" applyBorder="0" applyAlignment="0" applyProtection="0"/>
    <xf numFmtId="0" fontId="34" fillId="0" borderId="0"/>
    <xf numFmtId="0" fontId="34" fillId="0" borderId="0"/>
    <xf numFmtId="9" fontId="8" fillId="0" borderId="0" applyFont="0" applyFill="0" applyBorder="0" applyAlignment="0" applyProtection="0"/>
    <xf numFmtId="9" fontId="7" fillId="0" borderId="0" applyFont="0" applyFill="0" applyBorder="0" applyAlignment="0" applyProtection="0"/>
    <xf numFmtId="9" fontId="30" fillId="0" borderId="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30" fillId="0" borderId="0" applyFill="0" applyBorder="0" applyAlignment="0" applyProtection="0"/>
    <xf numFmtId="9" fontId="7" fillId="0" borderId="0" applyFont="0" applyFill="0" applyBorder="0" applyAlignment="0" applyProtection="0"/>
    <xf numFmtId="9" fontId="59" fillId="0" borderId="0" applyFill="0" applyBorder="0" applyAlignment="0" applyProtection="0"/>
    <xf numFmtId="9" fontId="109" fillId="0" borderId="0" applyFont="0" applyFill="0" applyBorder="0" applyAlignment="0" applyProtection="0"/>
    <xf numFmtId="9" fontId="30" fillId="0" borderId="0" applyFill="0" applyBorder="0" applyAlignment="0" applyProtection="0"/>
    <xf numFmtId="9" fontId="30" fillId="0" borderId="0" applyFill="0" applyBorder="0" applyAlignment="0" applyProtection="0"/>
    <xf numFmtId="39" fontId="18" fillId="14" borderId="5" applyAlignment="0" applyProtection="0"/>
    <xf numFmtId="39" fontId="18" fillId="14" borderId="5" applyAlignment="0" applyProtection="0"/>
    <xf numFmtId="39" fontId="18" fillId="14" borderId="5" applyAlignment="0" applyProtection="0"/>
    <xf numFmtId="39" fontId="18" fillId="14" borderId="5" applyAlignment="0" applyProtection="0"/>
    <xf numFmtId="39" fontId="18" fillId="14" borderId="5" applyAlignment="0" applyProtection="0"/>
    <xf numFmtId="39" fontId="18" fillId="14" borderId="5" applyAlignment="0" applyProtection="0"/>
    <xf numFmtId="39" fontId="18" fillId="14" borderId="5" applyAlignment="0" applyProtection="0"/>
    <xf numFmtId="39" fontId="18" fillId="14" borderId="5" applyAlignment="0" applyProtection="0"/>
    <xf numFmtId="39" fontId="13" fillId="0" borderId="0" applyFill="0" applyBorder="0" applyAlignment="0" applyProtection="0"/>
    <xf numFmtId="39" fontId="13" fillId="0" borderId="0" applyFill="0" applyBorder="0" applyAlignment="0" applyProtection="0"/>
    <xf numFmtId="39" fontId="13" fillId="0" borderId="0" applyFill="0" applyBorder="0" applyAlignment="0" applyProtection="0"/>
    <xf numFmtId="39" fontId="13" fillId="0" borderId="0" applyFill="0" applyBorder="0" applyAlignment="0" applyProtection="0"/>
    <xf numFmtId="39" fontId="13" fillId="0" borderId="0" applyFill="0" applyBorder="0" applyAlignment="0" applyProtection="0"/>
    <xf numFmtId="39" fontId="13" fillId="0" borderId="0" applyFill="0" applyBorder="0" applyAlignment="0" applyProtection="0"/>
    <xf numFmtId="39" fontId="13" fillId="0" borderId="0" applyFill="0" applyBorder="0" applyAlignment="0" applyProtection="0"/>
    <xf numFmtId="39" fontId="13" fillId="0" borderId="0" applyFill="0" applyBorder="0" applyAlignment="0" applyProtection="0"/>
    <xf numFmtId="39" fontId="19" fillId="0" borderId="0" applyFill="0" applyBorder="0" applyAlignment="0" applyProtection="0"/>
    <xf numFmtId="39" fontId="19" fillId="0" borderId="0" applyFill="0" applyBorder="0" applyAlignment="0" applyProtection="0"/>
    <xf numFmtId="39" fontId="19" fillId="0" borderId="0" applyFill="0" applyBorder="0" applyAlignment="0" applyProtection="0"/>
    <xf numFmtId="39" fontId="19" fillId="0" borderId="0" applyFill="0" applyBorder="0" applyAlignment="0" applyProtection="0"/>
    <xf numFmtId="39" fontId="19" fillId="0" borderId="0" applyFill="0" applyBorder="0" applyAlignment="0" applyProtection="0"/>
    <xf numFmtId="39" fontId="19" fillId="0" borderId="0" applyFill="0" applyBorder="0" applyAlignment="0" applyProtection="0"/>
    <xf numFmtId="39" fontId="19" fillId="0" borderId="0" applyFill="0" applyBorder="0" applyAlignment="0" applyProtection="0"/>
    <xf numFmtId="39" fontId="19" fillId="0" borderId="0" applyFill="0" applyBorder="0" applyAlignment="0" applyProtection="0"/>
    <xf numFmtId="39" fontId="20" fillId="0" borderId="0" applyFill="0" applyBorder="0" applyAlignment="0" applyProtection="0"/>
    <xf numFmtId="39" fontId="21" fillId="0" borderId="6" applyFill="0" applyAlignment="0" applyProtection="0"/>
    <xf numFmtId="39" fontId="21" fillId="0" borderId="6" applyFill="0" applyAlignment="0" applyProtection="0"/>
    <xf numFmtId="39" fontId="21" fillId="0" borderId="6" applyFill="0" applyAlignment="0" applyProtection="0"/>
    <xf numFmtId="39" fontId="21" fillId="0" borderId="6" applyFill="0" applyAlignment="0" applyProtection="0"/>
    <xf numFmtId="39" fontId="21" fillId="0" borderId="6" applyFill="0" applyAlignment="0" applyProtection="0"/>
    <xf numFmtId="39" fontId="21" fillId="0" borderId="6" applyFill="0" applyAlignment="0" applyProtection="0"/>
    <xf numFmtId="39" fontId="22" fillId="0" borderId="7" applyFill="0" applyAlignment="0" applyProtection="0"/>
    <xf numFmtId="39" fontId="22" fillId="0" borderId="8" applyFill="0" applyAlignment="0" applyProtection="0"/>
    <xf numFmtId="39" fontId="22" fillId="0" borderId="8" applyFill="0" applyAlignment="0" applyProtection="0"/>
    <xf numFmtId="39" fontId="22" fillId="0" borderId="7" applyFill="0" applyAlignment="0" applyProtection="0"/>
    <xf numFmtId="39" fontId="22" fillId="0" borderId="8" applyFill="0" applyAlignment="0" applyProtection="0"/>
    <xf numFmtId="39" fontId="22" fillId="0" borderId="8" applyFill="0" applyAlignment="0" applyProtection="0"/>
    <xf numFmtId="39" fontId="22" fillId="0" borderId="8" applyFill="0" applyAlignment="0" applyProtection="0"/>
    <xf numFmtId="39" fontId="22" fillId="0" borderId="7" applyFill="0" applyAlignment="0" applyProtection="0"/>
    <xf numFmtId="39" fontId="22" fillId="0" borderId="7" applyFill="0" applyAlignment="0" applyProtection="0"/>
    <xf numFmtId="39" fontId="14" fillId="0" borderId="9" applyFill="0" applyAlignment="0" applyProtection="0"/>
    <xf numFmtId="39" fontId="14" fillId="0" borderId="10" applyFill="0" applyAlignment="0" applyProtection="0"/>
    <xf numFmtId="39" fontId="14" fillId="0" borderId="10" applyFill="0" applyAlignment="0" applyProtection="0"/>
    <xf numFmtId="39" fontId="14" fillId="0" borderId="9" applyFill="0" applyAlignment="0" applyProtection="0"/>
    <xf numFmtId="39" fontId="14" fillId="0" borderId="10" applyFill="0" applyAlignment="0" applyProtection="0"/>
    <xf numFmtId="39" fontId="14" fillId="0" borderId="10" applyFill="0" applyAlignment="0" applyProtection="0"/>
    <xf numFmtId="39" fontId="14" fillId="0" borderId="10" applyFill="0" applyAlignment="0" applyProtection="0"/>
    <xf numFmtId="39" fontId="14" fillId="0" borderId="9" applyFill="0" applyAlignment="0" applyProtection="0"/>
    <xf numFmtId="39" fontId="14" fillId="0" borderId="9" applyFill="0" applyAlignment="0" applyProtection="0"/>
    <xf numFmtId="39" fontId="20" fillId="0" borderId="0" applyFill="0" applyBorder="0" applyAlignment="0" applyProtection="0"/>
    <xf numFmtId="39" fontId="20" fillId="0" borderId="0" applyFill="0" applyBorder="0" applyAlignment="0" applyProtection="0"/>
    <xf numFmtId="39" fontId="20" fillId="0" borderId="0" applyFill="0" applyBorder="0" applyAlignment="0" applyProtection="0"/>
    <xf numFmtId="39" fontId="20" fillId="0" borderId="0" applyFill="0" applyBorder="0" applyAlignment="0" applyProtection="0"/>
    <xf numFmtId="39" fontId="20" fillId="0" borderId="0" applyFill="0" applyBorder="0" applyAlignment="0" applyProtection="0"/>
    <xf numFmtId="39" fontId="20" fillId="0" borderId="0" applyFill="0" applyBorder="0" applyAlignment="0" applyProtection="0"/>
    <xf numFmtId="39" fontId="20" fillId="0" borderId="0" applyFill="0" applyBorder="0" applyAlignment="0" applyProtection="0"/>
    <xf numFmtId="39" fontId="23" fillId="0" borderId="11" applyFill="0" applyAlignment="0" applyProtection="0"/>
    <xf numFmtId="39" fontId="23" fillId="0" borderId="11" applyFill="0" applyAlignment="0" applyProtection="0"/>
    <xf numFmtId="39" fontId="23" fillId="0" borderId="11" applyFill="0" applyAlignment="0" applyProtection="0"/>
    <xf numFmtId="39" fontId="23" fillId="0" borderId="11" applyFill="0" applyAlignment="0" applyProtection="0"/>
    <xf numFmtId="39" fontId="23" fillId="0" borderId="11" applyFill="0" applyAlignment="0" applyProtection="0"/>
    <xf numFmtId="39" fontId="23" fillId="0" borderId="11" applyFill="0" applyAlignment="0" applyProtection="0"/>
    <xf numFmtId="39" fontId="23" fillId="0" borderId="11" applyFill="0" applyAlignment="0" applyProtection="0"/>
    <xf numFmtId="39" fontId="23" fillId="0" borderId="11" applyFill="0" applyAlignment="0" applyProtection="0"/>
    <xf numFmtId="0" fontId="6" fillId="0" borderId="0"/>
    <xf numFmtId="164" fontId="6" fillId="0" borderId="0" applyFont="0" applyFill="0" applyBorder="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0"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1328">
    <xf numFmtId="39" fontId="0" fillId="0" borderId="0" xfId="0"/>
    <xf numFmtId="39" fontId="24" fillId="0" borderId="0" xfId="0" applyFont="1"/>
    <xf numFmtId="39" fontId="25" fillId="0" borderId="0" xfId="0" applyFont="1"/>
    <xf numFmtId="39" fontId="27" fillId="0" borderId="0" xfId="0" applyFont="1"/>
    <xf numFmtId="39" fontId="26" fillId="0" borderId="0" xfId="0" applyFont="1"/>
    <xf numFmtId="39" fontId="24" fillId="0" borderId="0" xfId="0" applyFont="1" applyAlignment="1">
      <alignment horizontal="right"/>
    </xf>
    <xf numFmtId="49" fontId="24" fillId="0" borderId="0" xfId="0" applyNumberFormat="1" applyFont="1"/>
    <xf numFmtId="3" fontId="26" fillId="0" borderId="0" xfId="0" applyNumberFormat="1" applyFont="1" applyAlignment="1">
      <alignment horizontal="center"/>
    </xf>
    <xf numFmtId="39" fontId="26" fillId="22" borderId="12" xfId="0" applyFont="1" applyFill="1" applyBorder="1" applyAlignment="1">
      <alignment horizontal="center"/>
    </xf>
    <xf numFmtId="39" fontId="28" fillId="0" borderId="13" xfId="0" applyFont="1" applyBorder="1" applyAlignment="1">
      <alignment horizontal="left"/>
    </xf>
    <xf numFmtId="49" fontId="28" fillId="0" borderId="14" xfId="0" applyNumberFormat="1" applyFont="1" applyBorder="1" applyAlignment="1">
      <alignment horizontal="left"/>
    </xf>
    <xf numFmtId="3" fontId="28" fillId="0" borderId="14" xfId="0" applyNumberFormat="1" applyFont="1" applyBorder="1"/>
    <xf numFmtId="39" fontId="28" fillId="0" borderId="15" xfId="0" applyFont="1" applyBorder="1" applyAlignment="1">
      <alignment horizontal="left"/>
    </xf>
    <xf numFmtId="39" fontId="28" fillId="0" borderId="16" xfId="0" applyFont="1" applyBorder="1" applyAlignment="1">
      <alignment horizontal="left"/>
    </xf>
    <xf numFmtId="49" fontId="28" fillId="0" borderId="17" xfId="0" applyNumberFormat="1" applyFont="1" applyBorder="1" applyAlignment="1">
      <alignment horizontal="left"/>
    </xf>
    <xf numFmtId="3" fontId="28" fillId="0" borderId="17" xfId="0" applyNumberFormat="1" applyFont="1" applyBorder="1"/>
    <xf numFmtId="3" fontId="28" fillId="0" borderId="17" xfId="0" applyNumberFormat="1" applyFont="1" applyBorder="1" applyAlignment="1">
      <alignment horizontal="right"/>
    </xf>
    <xf numFmtId="39" fontId="26" fillId="6" borderId="18" xfId="0" applyFont="1" applyFill="1" applyBorder="1" applyAlignment="1">
      <alignment horizontal="center"/>
    </xf>
    <xf numFmtId="3" fontId="26" fillId="6" borderId="19" xfId="0" applyNumberFormat="1" applyFont="1" applyFill="1" applyBorder="1"/>
    <xf numFmtId="39" fontId="26" fillId="0" borderId="20" xfId="0" applyFont="1" applyBorder="1" applyAlignment="1">
      <alignment horizontal="left"/>
    </xf>
    <xf numFmtId="49" fontId="26" fillId="0" borderId="0" xfId="0" applyNumberFormat="1" applyFont="1" applyAlignment="1">
      <alignment horizontal="left"/>
    </xf>
    <xf numFmtId="3" fontId="26" fillId="0" borderId="0" xfId="0" applyNumberFormat="1" applyFont="1"/>
    <xf numFmtId="3" fontId="26" fillId="0" borderId="0" xfId="0" applyNumberFormat="1" applyFont="1" applyAlignment="1">
      <alignment horizontal="right"/>
    </xf>
    <xf numFmtId="39" fontId="26" fillId="6" borderId="18" xfId="0" applyFont="1" applyFill="1" applyBorder="1" applyAlignment="1">
      <alignment horizontal="left"/>
    </xf>
    <xf numFmtId="39" fontId="26" fillId="6" borderId="18" xfId="0" applyFont="1" applyFill="1" applyBorder="1" applyAlignment="1">
      <alignment horizontal="right"/>
    </xf>
    <xf numFmtId="39" fontId="26" fillId="6" borderId="12" xfId="0" applyFont="1" applyFill="1" applyBorder="1" applyAlignment="1">
      <alignment horizontal="left"/>
    </xf>
    <xf numFmtId="3" fontId="26" fillId="6" borderId="12" xfId="0" applyNumberFormat="1" applyFont="1" applyFill="1" applyBorder="1"/>
    <xf numFmtId="3" fontId="26" fillId="6" borderId="21" xfId="0" applyNumberFormat="1" applyFont="1" applyFill="1" applyBorder="1"/>
    <xf numFmtId="3" fontId="26" fillId="6" borderId="22" xfId="0" applyNumberFormat="1" applyFont="1" applyFill="1" applyBorder="1"/>
    <xf numFmtId="39" fontId="26" fillId="23" borderId="18" xfId="0" applyFont="1" applyFill="1" applyBorder="1" applyAlignment="1">
      <alignment horizontal="left"/>
    </xf>
    <xf numFmtId="3" fontId="26" fillId="23" borderId="19" xfId="0" applyNumberFormat="1" applyFont="1" applyFill="1" applyBorder="1"/>
    <xf numFmtId="3" fontId="28" fillId="0" borderId="0" xfId="0" applyNumberFormat="1" applyFont="1"/>
    <xf numFmtId="3" fontId="28" fillId="0" borderId="0" xfId="0" applyNumberFormat="1" applyFont="1" applyAlignment="1">
      <alignment horizontal="right"/>
    </xf>
    <xf numFmtId="39" fontId="28" fillId="0" borderId="23" xfId="0" applyFont="1" applyBorder="1" applyAlignment="1">
      <alignment horizontal="left"/>
    </xf>
    <xf numFmtId="3" fontId="28" fillId="0" borderId="24" xfId="0" applyNumberFormat="1" applyFont="1" applyBorder="1"/>
    <xf numFmtId="3" fontId="28" fillId="0" borderId="24" xfId="0" applyNumberFormat="1" applyFont="1" applyBorder="1" applyAlignment="1">
      <alignment horizontal="right"/>
    </xf>
    <xf numFmtId="3" fontId="28" fillId="0" borderId="25" xfId="0" applyNumberFormat="1" applyFont="1" applyBorder="1"/>
    <xf numFmtId="3" fontId="28" fillId="0" borderId="26" xfId="0" applyNumberFormat="1" applyFont="1" applyBorder="1"/>
    <xf numFmtId="3" fontId="26" fillId="6" borderId="27" xfId="0" applyNumberFormat="1" applyFont="1" applyFill="1" applyBorder="1"/>
    <xf numFmtId="3" fontId="28" fillId="0" borderId="28" xfId="0" applyNumberFormat="1" applyFont="1" applyBorder="1"/>
    <xf numFmtId="39" fontId="24" fillId="0" borderId="28" xfId="0" applyFont="1" applyBorder="1"/>
    <xf numFmtId="0" fontId="36" fillId="24" borderId="28" xfId="383" applyFont="1" applyFill="1" applyBorder="1" applyAlignment="1" applyProtection="1">
      <alignment horizontal="center"/>
      <protection hidden="1"/>
    </xf>
    <xf numFmtId="0" fontId="36" fillId="24" borderId="29" xfId="383" applyFont="1" applyFill="1" applyBorder="1" applyProtection="1">
      <protection hidden="1"/>
    </xf>
    <xf numFmtId="0" fontId="36" fillId="24" borderId="30" xfId="383" applyFont="1" applyFill="1" applyBorder="1" applyProtection="1">
      <protection hidden="1"/>
    </xf>
    <xf numFmtId="0" fontId="36" fillId="24" borderId="0" xfId="383" applyFont="1" applyFill="1" applyProtection="1">
      <protection hidden="1"/>
    </xf>
    <xf numFmtId="3" fontId="28" fillId="0" borderId="31" xfId="0" applyNumberFormat="1" applyFont="1" applyBorder="1"/>
    <xf numFmtId="3" fontId="26" fillId="0" borderId="28" xfId="0" applyNumberFormat="1" applyFont="1" applyBorder="1" applyAlignment="1">
      <alignment horizontal="right"/>
    </xf>
    <xf numFmtId="3" fontId="25" fillId="0" borderId="28" xfId="0" applyNumberFormat="1" applyFont="1" applyBorder="1"/>
    <xf numFmtId="3" fontId="28" fillId="0" borderId="32" xfId="0" applyNumberFormat="1" applyFont="1" applyBorder="1"/>
    <xf numFmtId="39" fontId="24" fillId="0" borderId="33" xfId="0" applyFont="1" applyBorder="1"/>
    <xf numFmtId="3" fontId="28" fillId="0" borderId="31" xfId="0" applyNumberFormat="1" applyFont="1" applyBorder="1" applyAlignment="1">
      <alignment horizontal="right"/>
    </xf>
    <xf numFmtId="49" fontId="28" fillId="0" borderId="31" xfId="0" applyNumberFormat="1" applyFont="1" applyBorder="1" applyAlignment="1">
      <alignment horizontal="left"/>
    </xf>
    <xf numFmtId="49" fontId="28" fillId="0" borderId="24" xfId="0" applyNumberFormat="1" applyFont="1" applyBorder="1" applyAlignment="1">
      <alignment horizontal="left"/>
    </xf>
    <xf numFmtId="37" fontId="26" fillId="0" borderId="0" xfId="0" applyNumberFormat="1" applyFont="1" applyAlignment="1">
      <alignment horizontal="center"/>
    </xf>
    <xf numFmtId="39" fontId="26" fillId="22" borderId="21" xfId="0" applyFont="1" applyFill="1" applyBorder="1" applyAlignment="1">
      <alignment horizontal="left"/>
    </xf>
    <xf numFmtId="39" fontId="28" fillId="0" borderId="34" xfId="0" applyFont="1" applyBorder="1" applyAlignment="1">
      <alignment horizontal="left"/>
    </xf>
    <xf numFmtId="39" fontId="28" fillId="0" borderId="35" xfId="0" applyFont="1" applyBorder="1" applyAlignment="1">
      <alignment horizontal="left"/>
    </xf>
    <xf numFmtId="39" fontId="28" fillId="0" borderId="36" xfId="0" applyFont="1" applyBorder="1" applyAlignment="1">
      <alignment horizontal="left"/>
    </xf>
    <xf numFmtId="3" fontId="26" fillId="0" borderId="37" xfId="0" applyNumberFormat="1" applyFont="1" applyBorder="1" applyAlignment="1">
      <alignment horizontal="center"/>
    </xf>
    <xf numFmtId="3" fontId="28" fillId="0" borderId="37" xfId="0" applyNumberFormat="1" applyFont="1" applyBorder="1"/>
    <xf numFmtId="3" fontId="28" fillId="0" borderId="38" xfId="0" applyNumberFormat="1" applyFont="1" applyBorder="1"/>
    <xf numFmtId="3" fontId="26" fillId="6" borderId="39" xfId="0" applyNumberFormat="1" applyFont="1" applyFill="1" applyBorder="1"/>
    <xf numFmtId="37" fontId="26" fillId="0" borderId="28" xfId="0" applyNumberFormat="1" applyFont="1" applyBorder="1" applyAlignment="1">
      <alignment horizontal="center"/>
    </xf>
    <xf numFmtId="49" fontId="28" fillId="0" borderId="28" xfId="0" applyNumberFormat="1" applyFont="1" applyBorder="1" applyAlignment="1">
      <alignment horizontal="left"/>
    </xf>
    <xf numFmtId="3" fontId="28" fillId="0" borderId="40" xfId="0" applyNumberFormat="1" applyFont="1" applyBorder="1"/>
    <xf numFmtId="3" fontId="28" fillId="0" borderId="41" xfId="0" applyNumberFormat="1" applyFont="1" applyBorder="1"/>
    <xf numFmtId="39" fontId="26" fillId="22" borderId="21" xfId="0" applyFont="1" applyFill="1" applyBorder="1" applyAlignment="1">
      <alignment horizontal="center"/>
    </xf>
    <xf numFmtId="3" fontId="26" fillId="0" borderId="40" xfId="0" applyNumberFormat="1" applyFont="1" applyBorder="1" applyAlignment="1">
      <alignment horizontal="center"/>
    </xf>
    <xf numFmtId="37" fontId="26" fillId="0" borderId="33" xfId="0" applyNumberFormat="1" applyFont="1" applyBorder="1" applyAlignment="1">
      <alignment horizontal="center"/>
    </xf>
    <xf numFmtId="17" fontId="25" fillId="22" borderId="42" xfId="335" applyNumberFormat="1" applyFont="1" applyFill="1" applyBorder="1" applyAlignment="1" applyProtection="1">
      <alignment horizontal="center"/>
    </xf>
    <xf numFmtId="0" fontId="25" fillId="22" borderId="43" xfId="335" applyNumberFormat="1" applyFont="1" applyFill="1" applyBorder="1" applyAlignment="1" applyProtection="1">
      <alignment horizontal="center"/>
    </xf>
    <xf numFmtId="0" fontId="25" fillId="22" borderId="44" xfId="335" applyNumberFormat="1" applyFont="1" applyFill="1" applyBorder="1" applyAlignment="1" applyProtection="1">
      <alignment horizontal="center"/>
    </xf>
    <xf numFmtId="0" fontId="25" fillId="25" borderId="44" xfId="335" applyNumberFormat="1" applyFont="1" applyFill="1" applyBorder="1" applyAlignment="1">
      <alignment horizontal="center"/>
    </xf>
    <xf numFmtId="0" fontId="25" fillId="25" borderId="45" xfId="335" applyNumberFormat="1" applyFont="1" applyFill="1" applyBorder="1" applyAlignment="1">
      <alignment horizontal="center"/>
    </xf>
    <xf numFmtId="39" fontId="110" fillId="0" borderId="0" xfId="399" applyFont="1"/>
    <xf numFmtId="0" fontId="31" fillId="0" borderId="0" xfId="381"/>
    <xf numFmtId="0" fontId="40" fillId="0" borderId="0" xfId="381" applyFont="1" applyAlignment="1">
      <alignment horizontal="center" vertical="center"/>
    </xf>
    <xf numFmtId="0" fontId="41" fillId="0" borderId="0" xfId="381" applyFont="1" applyAlignment="1">
      <alignment horizontal="center" vertical="center"/>
    </xf>
    <xf numFmtId="0" fontId="38" fillId="0" borderId="0" xfId="381" applyFont="1" applyAlignment="1">
      <alignment horizontal="center" vertical="center"/>
    </xf>
    <xf numFmtId="0" fontId="42" fillId="0" borderId="0" xfId="381" applyFont="1" applyAlignment="1">
      <alignment horizontal="center" vertical="center"/>
    </xf>
    <xf numFmtId="0" fontId="48" fillId="26" borderId="0" xfId="381" applyFont="1" applyFill="1" applyAlignment="1">
      <alignment horizontal="center" vertical="center"/>
    </xf>
    <xf numFmtId="0" fontId="45" fillId="0" borderId="0" xfId="381" applyFont="1" applyAlignment="1">
      <alignment horizontal="left" vertical="center"/>
    </xf>
    <xf numFmtId="0" fontId="45" fillId="0" borderId="0" xfId="381" applyFont="1" applyAlignment="1">
      <alignment vertical="center"/>
    </xf>
    <xf numFmtId="4" fontId="46" fillId="0" borderId="0" xfId="381" applyNumberFormat="1" applyFont="1" applyAlignment="1">
      <alignment vertical="center"/>
    </xf>
    <xf numFmtId="0" fontId="47" fillId="0" borderId="0" xfId="381" applyFont="1" applyAlignment="1">
      <alignment horizontal="left" vertical="center"/>
    </xf>
    <xf numFmtId="0" fontId="47" fillId="0" borderId="0" xfId="381" applyFont="1" applyAlignment="1">
      <alignment vertical="center"/>
    </xf>
    <xf numFmtId="4" fontId="32" fillId="0" borderId="0" xfId="381" applyNumberFormat="1" applyFont="1" applyAlignment="1">
      <alignment vertical="center"/>
    </xf>
    <xf numFmtId="0" fontId="45" fillId="0" borderId="46" xfId="381" applyFont="1" applyBorder="1" applyAlignment="1">
      <alignment horizontal="left" vertical="center"/>
    </xf>
    <xf numFmtId="4" fontId="45" fillId="0" borderId="47" xfId="381" applyNumberFormat="1" applyFont="1" applyBorder="1" applyAlignment="1">
      <alignment vertical="center"/>
    </xf>
    <xf numFmtId="0" fontId="43" fillId="0" borderId="0" xfId="381" applyFont="1" applyAlignment="1">
      <alignment horizontal="center" vertical="center"/>
    </xf>
    <xf numFmtId="0" fontId="44" fillId="0" borderId="0" xfId="381" applyFont="1" applyAlignment="1">
      <alignment horizontal="left" vertical="center"/>
    </xf>
    <xf numFmtId="3" fontId="41" fillId="0" borderId="0" xfId="381" applyNumberFormat="1" applyFont="1" applyAlignment="1">
      <alignment horizontal="left" vertical="center"/>
    </xf>
    <xf numFmtId="0" fontId="41" fillId="0" borderId="0" xfId="381" applyFont="1" applyAlignment="1">
      <alignment vertical="center"/>
    </xf>
    <xf numFmtId="39" fontId="111" fillId="32" borderId="28" xfId="0" applyFont="1" applyFill="1" applyBorder="1" applyAlignment="1">
      <alignment wrapText="1"/>
    </xf>
    <xf numFmtId="0" fontId="37" fillId="32" borderId="28" xfId="383" applyFont="1" applyFill="1" applyBorder="1" applyProtection="1">
      <protection hidden="1"/>
    </xf>
    <xf numFmtId="10" fontId="37" fillId="32" borderId="48" xfId="383" applyNumberFormat="1" applyFont="1" applyFill="1" applyBorder="1" applyAlignment="1" applyProtection="1">
      <alignment wrapText="1"/>
      <protection hidden="1"/>
    </xf>
    <xf numFmtId="39" fontId="28" fillId="0" borderId="20" xfId="0" applyFont="1" applyBorder="1" applyAlignment="1">
      <alignment horizontal="left"/>
    </xf>
    <xf numFmtId="39" fontId="53" fillId="0" borderId="0" xfId="0" applyFont="1"/>
    <xf numFmtId="10" fontId="53" fillId="0" borderId="0" xfId="0" applyNumberFormat="1" applyFont="1"/>
    <xf numFmtId="0" fontId="55" fillId="33" borderId="28" xfId="383" applyFont="1" applyFill="1" applyBorder="1" applyAlignment="1" applyProtection="1">
      <alignment vertical="center"/>
      <protection hidden="1"/>
    </xf>
    <xf numFmtId="0" fontId="53" fillId="0" borderId="0" xfId="0" applyNumberFormat="1" applyFont="1"/>
    <xf numFmtId="0" fontId="56" fillId="0" borderId="0" xfId="0" applyNumberFormat="1" applyFont="1" applyAlignment="1">
      <alignment horizontal="center" wrapText="1"/>
    </xf>
    <xf numFmtId="0" fontId="55" fillId="0" borderId="49" xfId="383" applyFont="1" applyBorder="1" applyProtection="1">
      <protection hidden="1"/>
    </xf>
    <xf numFmtId="0" fontId="112" fillId="19" borderId="28" xfId="0" applyNumberFormat="1" applyFont="1" applyFill="1" applyBorder="1" applyAlignment="1">
      <alignment horizontal="center" wrapText="1"/>
    </xf>
    <xf numFmtId="0" fontId="54" fillId="27" borderId="28" xfId="0" applyNumberFormat="1" applyFont="1" applyFill="1" applyBorder="1" applyAlignment="1">
      <alignment horizontal="center" wrapText="1"/>
    </xf>
    <xf numFmtId="0" fontId="56" fillId="34" borderId="28" xfId="0" applyNumberFormat="1" applyFont="1" applyFill="1" applyBorder="1" applyAlignment="1">
      <alignment horizontal="center" wrapText="1"/>
    </xf>
    <xf numFmtId="0" fontId="55" fillId="0" borderId="0" xfId="383" applyFont="1" applyAlignment="1" applyProtection="1">
      <alignment horizontal="center"/>
      <protection hidden="1"/>
    </xf>
    <xf numFmtId="0" fontId="57" fillId="28" borderId="28" xfId="383" applyFont="1" applyFill="1" applyBorder="1" applyProtection="1">
      <protection hidden="1"/>
    </xf>
    <xf numFmtId="0" fontId="55" fillId="29" borderId="28" xfId="0" applyNumberFormat="1" applyFont="1" applyFill="1" applyBorder="1" applyAlignment="1">
      <alignment horizontal="center" wrapText="1"/>
    </xf>
    <xf numFmtId="10" fontId="56" fillId="34" borderId="28" xfId="0" applyNumberFormat="1" applyFont="1" applyFill="1" applyBorder="1"/>
    <xf numFmtId="0" fontId="57" fillId="0" borderId="0" xfId="0" applyNumberFormat="1" applyFont="1" applyAlignment="1">
      <alignment wrapText="1"/>
    </xf>
    <xf numFmtId="10" fontId="54" fillId="30" borderId="28" xfId="0" applyNumberFormat="1" applyFont="1" applyFill="1" applyBorder="1"/>
    <xf numFmtId="0" fontId="57" fillId="0" borderId="30" xfId="383" applyFont="1" applyBorder="1" applyProtection="1">
      <protection hidden="1"/>
    </xf>
    <xf numFmtId="0" fontId="55" fillId="0" borderId="0" xfId="0" applyNumberFormat="1" applyFont="1" applyAlignment="1">
      <alignment horizontal="center" wrapText="1"/>
    </xf>
    <xf numFmtId="10" fontId="56" fillId="0" borderId="0" xfId="0" applyNumberFormat="1" applyFont="1"/>
    <xf numFmtId="10" fontId="54" fillId="0" borderId="0" xfId="0" applyNumberFormat="1" applyFont="1"/>
    <xf numFmtId="39" fontId="53" fillId="29" borderId="0" xfId="0" applyFont="1" applyFill="1"/>
    <xf numFmtId="0" fontId="57" fillId="29" borderId="28" xfId="0" applyNumberFormat="1" applyFont="1" applyFill="1" applyBorder="1" applyAlignment="1">
      <alignment wrapText="1"/>
    </xf>
    <xf numFmtId="10" fontId="55" fillId="0" borderId="28" xfId="459" applyNumberFormat="1" applyFont="1" applyFill="1" applyBorder="1" applyAlignment="1">
      <alignment wrapText="1"/>
    </xf>
    <xf numFmtId="10" fontId="53" fillId="0" borderId="0" xfId="458" applyNumberFormat="1" applyFont="1"/>
    <xf numFmtId="0" fontId="57" fillId="0" borderId="28" xfId="0" applyNumberFormat="1" applyFont="1" applyBorder="1" applyAlignment="1">
      <alignment wrapText="1"/>
    </xf>
    <xf numFmtId="0" fontId="55" fillId="35" borderId="28" xfId="383" applyFont="1" applyFill="1" applyBorder="1" applyAlignment="1" applyProtection="1">
      <alignment horizontal="center"/>
      <protection hidden="1"/>
    </xf>
    <xf numFmtId="0" fontId="55" fillId="35" borderId="28" xfId="383" applyFont="1" applyFill="1" applyBorder="1" applyProtection="1">
      <protection hidden="1"/>
    </xf>
    <xf numFmtId="0" fontId="113" fillId="35" borderId="28" xfId="0" applyNumberFormat="1" applyFont="1" applyFill="1" applyBorder="1" applyAlignment="1">
      <alignment horizontal="center"/>
    </xf>
    <xf numFmtId="17" fontId="113" fillId="35" borderId="28" xfId="0" applyNumberFormat="1" applyFont="1" applyFill="1" applyBorder="1" applyAlignment="1">
      <alignment horizontal="center"/>
    </xf>
    <xf numFmtId="39" fontId="114" fillId="35" borderId="28" xfId="0" applyFont="1" applyFill="1" applyBorder="1" applyAlignment="1">
      <alignment wrapText="1"/>
    </xf>
    <xf numFmtId="9" fontId="54" fillId="36" borderId="28" xfId="0" applyNumberFormat="1" applyFont="1" applyFill="1" applyBorder="1"/>
    <xf numFmtId="39" fontId="56" fillId="34" borderId="28" xfId="0" applyFont="1" applyFill="1" applyBorder="1"/>
    <xf numFmtId="0" fontId="55" fillId="29" borderId="0" xfId="0" applyNumberFormat="1" applyFont="1" applyFill="1" applyAlignment="1">
      <alignment horizontal="center" wrapText="1"/>
    </xf>
    <xf numFmtId="39" fontId="56" fillId="0" borderId="0" xfId="0" applyFont="1"/>
    <xf numFmtId="39" fontId="56" fillId="0" borderId="49" xfId="0" applyFont="1" applyBorder="1"/>
    <xf numFmtId="39" fontId="114" fillId="0" borderId="0" xfId="0" applyFont="1" applyAlignment="1">
      <alignment wrapText="1"/>
    </xf>
    <xf numFmtId="0" fontId="55" fillId="0" borderId="30" xfId="383" applyFont="1" applyBorder="1" applyProtection="1">
      <protection hidden="1"/>
    </xf>
    <xf numFmtId="10" fontId="56" fillId="34" borderId="28" xfId="458" applyNumberFormat="1" applyFont="1" applyFill="1" applyBorder="1" applyAlignment="1">
      <alignment wrapText="1"/>
    </xf>
    <xf numFmtId="10" fontId="56" fillId="31" borderId="28" xfId="458" applyNumberFormat="1" applyFont="1" applyFill="1" applyBorder="1" applyAlignment="1">
      <alignment wrapText="1"/>
    </xf>
    <xf numFmtId="10" fontId="54" fillId="36" borderId="28" xfId="458" applyNumberFormat="1" applyFont="1" applyFill="1" applyBorder="1" applyAlignment="1">
      <alignment wrapText="1"/>
    </xf>
    <xf numFmtId="10" fontId="55" fillId="30" borderId="28" xfId="458" applyNumberFormat="1" applyFont="1" applyFill="1" applyBorder="1" applyAlignment="1">
      <alignment wrapText="1"/>
    </xf>
    <xf numFmtId="10" fontId="53" fillId="0" borderId="28" xfId="458" applyNumberFormat="1" applyFont="1" applyBorder="1"/>
    <xf numFmtId="10" fontId="56" fillId="0" borderId="0" xfId="458" applyNumberFormat="1" applyFont="1" applyFill="1" applyBorder="1" applyAlignment="1">
      <alignment wrapText="1"/>
    </xf>
    <xf numFmtId="10" fontId="56" fillId="0" borderId="49" xfId="458" applyNumberFormat="1" applyFont="1" applyFill="1" applyBorder="1" applyAlignment="1">
      <alignment wrapText="1"/>
    </xf>
    <xf numFmtId="0" fontId="55" fillId="33" borderId="28" xfId="383" applyFont="1" applyFill="1" applyBorder="1" applyAlignment="1" applyProtection="1">
      <alignment vertical="center" wrapText="1"/>
      <protection hidden="1"/>
    </xf>
    <xf numFmtId="10" fontId="54" fillId="34" borderId="28" xfId="0" applyNumberFormat="1" applyFont="1" applyFill="1" applyBorder="1"/>
    <xf numFmtId="10" fontId="54" fillId="31" borderId="28" xfId="0" applyNumberFormat="1" applyFont="1" applyFill="1" applyBorder="1"/>
    <xf numFmtId="39" fontId="54" fillId="34" borderId="28" xfId="0" applyFont="1" applyFill="1" applyBorder="1"/>
    <xf numFmtId="10" fontId="54" fillId="34" borderId="28" xfId="458" applyNumberFormat="1" applyFont="1" applyFill="1" applyBorder="1" applyAlignment="1">
      <alignment wrapText="1"/>
    </xf>
    <xf numFmtId="10" fontId="54" fillId="31" borderId="28" xfId="458" applyNumberFormat="1" applyFont="1" applyFill="1" applyBorder="1" applyAlignment="1">
      <alignment wrapText="1"/>
    </xf>
    <xf numFmtId="10" fontId="54" fillId="37" borderId="0" xfId="0" applyNumberFormat="1" applyFont="1" applyFill="1"/>
    <xf numFmtId="39" fontId="53" fillId="0" borderId="28" xfId="0" applyFont="1" applyBorder="1"/>
    <xf numFmtId="10" fontId="30" fillId="0" borderId="28" xfId="458" applyNumberFormat="1" applyBorder="1"/>
    <xf numFmtId="10" fontId="27" fillId="0" borderId="28" xfId="458" applyNumberFormat="1" applyFont="1" applyBorder="1"/>
    <xf numFmtId="9" fontId="30" fillId="0" borderId="28" xfId="458" applyFill="1" applyBorder="1" applyAlignment="1" applyProtection="1"/>
    <xf numFmtId="168" fontId="115" fillId="38" borderId="28" xfId="360" applyNumberFormat="1" applyFont="1" applyFill="1" applyBorder="1" applyAlignment="1" applyProtection="1"/>
    <xf numFmtId="168" fontId="116" fillId="0" borderId="28" xfId="420" applyNumberFormat="1" applyFont="1" applyBorder="1"/>
    <xf numFmtId="168" fontId="116" fillId="0" borderId="28" xfId="360" applyNumberFormat="1" applyFont="1" applyFill="1" applyBorder="1" applyAlignment="1" applyProtection="1">
      <alignment horizontal="right"/>
    </xf>
    <xf numFmtId="168" fontId="116" fillId="0" borderId="28" xfId="448" applyNumberFormat="1" applyFont="1" applyBorder="1"/>
    <xf numFmtId="168" fontId="115" fillId="39" borderId="28" xfId="399" applyNumberFormat="1" applyFont="1" applyFill="1" applyBorder="1" applyAlignment="1">
      <alignment horizontal="left"/>
    </xf>
    <xf numFmtId="168" fontId="115" fillId="38" borderId="28" xfId="348" applyNumberFormat="1" applyFont="1" applyFill="1" applyBorder="1" applyAlignment="1" applyProtection="1">
      <alignment vertical="center" wrapText="1"/>
    </xf>
    <xf numFmtId="39" fontId="29" fillId="0" borderId="0" xfId="0" applyFont="1" applyAlignment="1">
      <alignment horizontal="center"/>
    </xf>
    <xf numFmtId="0" fontId="55" fillId="40" borderId="28" xfId="383" applyFont="1" applyFill="1" applyBorder="1" applyAlignment="1" applyProtection="1">
      <alignment vertical="center"/>
      <protection hidden="1"/>
    </xf>
    <xf numFmtId="0" fontId="55" fillId="0" borderId="28" xfId="383" applyFont="1" applyBorder="1" applyAlignment="1" applyProtection="1">
      <alignment horizontal="center"/>
      <protection hidden="1"/>
    </xf>
    <xf numFmtId="10" fontId="113" fillId="34" borderId="28" xfId="0" applyNumberFormat="1" applyFont="1" applyFill="1" applyBorder="1"/>
    <xf numFmtId="10" fontId="54" fillId="37" borderId="28" xfId="0" applyNumberFormat="1" applyFont="1" applyFill="1" applyBorder="1"/>
    <xf numFmtId="39" fontId="114" fillId="0" borderId="28" xfId="0" applyFont="1" applyBorder="1" applyAlignment="1">
      <alignment wrapText="1"/>
    </xf>
    <xf numFmtId="0" fontId="55" fillId="35" borderId="28" xfId="383" applyFont="1" applyFill="1" applyBorder="1" applyAlignment="1" applyProtection="1">
      <alignment wrapText="1"/>
      <protection hidden="1"/>
    </xf>
    <xf numFmtId="39" fontId="114" fillId="0" borderId="28" xfId="0" applyFont="1" applyBorder="1" applyAlignment="1">
      <alignment vertical="center" wrapText="1"/>
    </xf>
    <xf numFmtId="39" fontId="113" fillId="34" borderId="28" xfId="0" applyFont="1" applyFill="1" applyBorder="1"/>
    <xf numFmtId="0" fontId="55" fillId="40" borderId="28" xfId="383" applyFont="1" applyFill="1" applyBorder="1" applyAlignment="1" applyProtection="1">
      <alignment vertical="center" wrapText="1"/>
      <protection hidden="1"/>
    </xf>
    <xf numFmtId="10" fontId="113" fillId="34" borderId="28" xfId="458" applyNumberFormat="1" applyFont="1" applyFill="1" applyBorder="1" applyAlignment="1">
      <alignment wrapText="1"/>
    </xf>
    <xf numFmtId="10" fontId="113" fillId="31" borderId="28" xfId="458" applyNumberFormat="1" applyFont="1" applyFill="1" applyBorder="1" applyAlignment="1">
      <alignment wrapText="1"/>
    </xf>
    <xf numFmtId="10" fontId="55" fillId="0" borderId="28" xfId="465" applyNumberFormat="1" applyFont="1" applyFill="1" applyBorder="1" applyAlignment="1">
      <alignment wrapText="1"/>
    </xf>
    <xf numFmtId="10" fontId="113" fillId="36" borderId="28" xfId="458" applyNumberFormat="1" applyFont="1" applyFill="1" applyBorder="1" applyAlignment="1">
      <alignment wrapText="1"/>
    </xf>
    <xf numFmtId="10" fontId="113" fillId="30" borderId="28" xfId="458" applyNumberFormat="1" applyFont="1" applyFill="1" applyBorder="1" applyAlignment="1">
      <alignment wrapText="1"/>
    </xf>
    <xf numFmtId="10" fontId="113" fillId="0" borderId="49" xfId="458" applyNumberFormat="1" applyFont="1" applyFill="1" applyBorder="1" applyAlignment="1">
      <alignment wrapText="1"/>
    </xf>
    <xf numFmtId="10" fontId="113" fillId="0" borderId="0" xfId="0" applyNumberFormat="1" applyFont="1"/>
    <xf numFmtId="167" fontId="54" fillId="30" borderId="28" xfId="0" applyNumberFormat="1" applyFont="1" applyFill="1" applyBorder="1"/>
    <xf numFmtId="0" fontId="117" fillId="41" borderId="28" xfId="0" applyNumberFormat="1" applyFont="1" applyFill="1" applyBorder="1" applyAlignment="1">
      <alignment horizontal="center"/>
    </xf>
    <xf numFmtId="10" fontId="54" fillId="42" borderId="28" xfId="0" applyNumberFormat="1" applyFont="1" applyFill="1" applyBorder="1"/>
    <xf numFmtId="39" fontId="117" fillId="37" borderId="28" xfId="0" applyFont="1" applyFill="1" applyBorder="1"/>
    <xf numFmtId="10" fontId="117" fillId="37" borderId="28" xfId="458" applyNumberFormat="1" applyFont="1" applyFill="1" applyBorder="1" applyAlignment="1">
      <alignment wrapText="1"/>
    </xf>
    <xf numFmtId="10" fontId="54" fillId="42" borderId="28" xfId="458" applyNumberFormat="1" applyFont="1" applyFill="1" applyBorder="1" applyAlignment="1">
      <alignment wrapText="1"/>
    </xf>
    <xf numFmtId="10" fontId="117" fillId="42" borderId="28" xfId="458" applyNumberFormat="1" applyFont="1" applyFill="1" applyBorder="1" applyAlignment="1">
      <alignment wrapText="1"/>
    </xf>
    <xf numFmtId="39" fontId="0" fillId="0" borderId="28" xfId="0" applyBorder="1"/>
    <xf numFmtId="39" fontId="0" fillId="0" borderId="28" xfId="0" applyBorder="1" applyAlignment="1">
      <alignment horizontal="center"/>
    </xf>
    <xf numFmtId="10" fontId="30" fillId="0" borderId="28" xfId="458" applyNumberFormat="1" applyBorder="1" applyAlignment="1">
      <alignment horizontal="center"/>
    </xf>
    <xf numFmtId="39" fontId="29" fillId="0" borderId="28" xfId="0" applyFont="1" applyBorder="1" applyAlignment="1">
      <alignment horizontal="center"/>
    </xf>
    <xf numFmtId="38" fontId="29" fillId="0" borderId="28" xfId="335" applyNumberFormat="1" applyFont="1" applyBorder="1" applyAlignment="1">
      <alignment horizontal="center"/>
    </xf>
    <xf numFmtId="39" fontId="29" fillId="0" borderId="0" xfId="0" applyFont="1"/>
    <xf numFmtId="0" fontId="59" fillId="0" borderId="28" xfId="448" applyFont="1" applyBorder="1" applyAlignment="1">
      <alignment horizontal="center"/>
    </xf>
    <xf numFmtId="0" fontId="59" fillId="0" borderId="33" xfId="448" applyFont="1" applyBorder="1"/>
    <xf numFmtId="0" fontId="59" fillId="0" borderId="28" xfId="448" applyFont="1" applyBorder="1"/>
    <xf numFmtId="17" fontId="59" fillId="0" borderId="28" xfId="448" applyNumberFormat="1" applyFont="1" applyBorder="1" applyAlignment="1">
      <alignment horizontal="center"/>
    </xf>
    <xf numFmtId="170" fontId="27" fillId="0" borderId="33" xfId="364" applyNumberFormat="1" applyBorder="1"/>
    <xf numFmtId="170" fontId="27" fillId="0" borderId="28" xfId="364" applyNumberFormat="1" applyBorder="1"/>
    <xf numFmtId="170" fontId="59" fillId="0" borderId="28" xfId="364" applyNumberFormat="1" applyFont="1" applyBorder="1"/>
    <xf numFmtId="168" fontId="115" fillId="43" borderId="28" xfId="348" applyNumberFormat="1" applyFont="1" applyFill="1" applyBorder="1" applyAlignment="1" applyProtection="1">
      <alignment horizontal="center" vertical="center" wrapText="1"/>
    </xf>
    <xf numFmtId="39" fontId="118" fillId="5" borderId="28" xfId="454" applyFont="1" applyBorder="1" applyAlignment="1">
      <alignment horizontal="center"/>
    </xf>
    <xf numFmtId="10" fontId="30" fillId="5" borderId="50" xfId="458" applyNumberFormat="1" applyFill="1" applyBorder="1" applyAlignment="1">
      <alignment horizontal="center"/>
    </xf>
    <xf numFmtId="10" fontId="30" fillId="5" borderId="4" xfId="458" applyNumberFormat="1" applyFill="1" applyBorder="1" applyAlignment="1">
      <alignment horizontal="center"/>
    </xf>
    <xf numFmtId="10" fontId="30" fillId="5" borderId="51" xfId="458" applyNumberFormat="1" applyFill="1" applyBorder="1" applyAlignment="1">
      <alignment horizontal="center"/>
    </xf>
    <xf numFmtId="10" fontId="30" fillId="5" borderId="0" xfId="458" applyNumberFormat="1" applyFill="1" applyBorder="1" applyAlignment="1">
      <alignment horizontal="center"/>
    </xf>
    <xf numFmtId="10" fontId="30" fillId="5" borderId="28" xfId="458" applyNumberFormat="1" applyFill="1" applyBorder="1" applyAlignment="1">
      <alignment horizontal="center"/>
    </xf>
    <xf numFmtId="39" fontId="118" fillId="0" borderId="0" xfId="0" applyFont="1"/>
    <xf numFmtId="39" fontId="119" fillId="44" borderId="28" xfId="0" applyFont="1" applyFill="1" applyBorder="1"/>
    <xf numFmtId="39" fontId="29" fillId="45" borderId="28" xfId="0" applyFont="1" applyFill="1" applyBorder="1" applyAlignment="1">
      <alignment horizontal="center"/>
    </xf>
    <xf numFmtId="39" fontId="29" fillId="46" borderId="28" xfId="0" applyFont="1" applyFill="1" applyBorder="1" applyAlignment="1">
      <alignment horizontal="center"/>
    </xf>
    <xf numFmtId="39" fontId="120" fillId="44" borderId="28" xfId="0" applyFont="1" applyFill="1" applyBorder="1" applyAlignment="1">
      <alignment horizontal="center"/>
    </xf>
    <xf numFmtId="39" fontId="121" fillId="44" borderId="28" xfId="0" applyFont="1" applyFill="1" applyBorder="1" applyAlignment="1">
      <alignment horizontal="center"/>
    </xf>
    <xf numFmtId="10" fontId="30" fillId="0" borderId="0" xfId="458" applyNumberFormat="1"/>
    <xf numFmtId="39" fontId="121" fillId="44" borderId="28" xfId="0" applyFont="1" applyFill="1" applyBorder="1"/>
    <xf numFmtId="10" fontId="30" fillId="45" borderId="28" xfId="458" applyNumberFormat="1" applyFill="1" applyBorder="1" applyAlignment="1">
      <alignment horizontal="center"/>
    </xf>
    <xf numFmtId="10" fontId="30" fillId="46" borderId="28" xfId="458" applyNumberFormat="1" applyFill="1" applyBorder="1" applyAlignment="1">
      <alignment horizontal="center"/>
    </xf>
    <xf numFmtId="10" fontId="120" fillId="44" borderId="28" xfId="458" applyNumberFormat="1" applyFont="1" applyFill="1" applyBorder="1" applyAlignment="1">
      <alignment horizontal="center"/>
    </xf>
    <xf numFmtId="9" fontId="30" fillId="0" borderId="0" xfId="458"/>
    <xf numFmtId="9" fontId="30" fillId="39" borderId="28" xfId="458" applyFill="1" applyBorder="1" applyAlignment="1" applyProtection="1"/>
    <xf numFmtId="39" fontId="0" fillId="0" borderId="0" xfId="0" applyAlignment="1">
      <alignment horizontal="center"/>
    </xf>
    <xf numFmtId="0" fontId="109" fillId="0" borderId="0" xfId="390"/>
    <xf numFmtId="0" fontId="109" fillId="45" borderId="0" xfId="390" applyFill="1"/>
    <xf numFmtId="0" fontId="122" fillId="0" borderId="0" xfId="390" applyFont="1"/>
    <xf numFmtId="0" fontId="123" fillId="45" borderId="0" xfId="390" applyFont="1" applyFill="1"/>
    <xf numFmtId="0" fontId="109" fillId="45" borderId="0" xfId="390" applyFill="1" applyAlignment="1">
      <alignment horizontal="right"/>
    </xf>
    <xf numFmtId="0" fontId="123" fillId="45" borderId="0" xfId="390" applyFont="1" applyFill="1" applyAlignment="1">
      <alignment horizontal="right"/>
    </xf>
    <xf numFmtId="0" fontId="109" fillId="45" borderId="0" xfId="390" applyFill="1" applyAlignment="1">
      <alignment vertical="center"/>
    </xf>
    <xf numFmtId="0" fontId="122" fillId="0" borderId="0" xfId="390" applyFont="1" applyAlignment="1">
      <alignment horizontal="center" wrapText="1"/>
    </xf>
    <xf numFmtId="0" fontId="124" fillId="45" borderId="0" xfId="390" applyFont="1" applyFill="1"/>
    <xf numFmtId="0" fontId="125" fillId="45" borderId="0" xfId="390" applyFont="1" applyFill="1"/>
    <xf numFmtId="0" fontId="109" fillId="45" borderId="0" xfId="390" applyFill="1" applyAlignment="1">
      <alignment horizontal="left" indent="1"/>
    </xf>
    <xf numFmtId="38" fontId="30" fillId="45" borderId="0" xfId="335" applyNumberFormat="1" applyFill="1" applyBorder="1" applyAlignment="1">
      <alignment horizontal="center"/>
    </xf>
    <xf numFmtId="37" fontId="109" fillId="45" borderId="0" xfId="390" applyNumberFormat="1" applyFill="1"/>
    <xf numFmtId="0" fontId="109" fillId="47" borderId="28" xfId="390" applyFill="1" applyBorder="1" applyAlignment="1">
      <alignment horizontal="center"/>
    </xf>
    <xf numFmtId="0" fontId="109" fillId="36" borderId="28" xfId="390" applyFill="1" applyBorder="1" applyAlignment="1">
      <alignment horizontal="center"/>
    </xf>
    <xf numFmtId="0" fontId="109" fillId="48" borderId="28" xfId="390" applyFill="1" applyBorder="1" applyAlignment="1">
      <alignment horizontal="center"/>
    </xf>
    <xf numFmtId="10" fontId="61" fillId="0" borderId="28" xfId="458" applyNumberFormat="1" applyFont="1" applyBorder="1" applyAlignment="1">
      <alignment horizontal="center"/>
    </xf>
    <xf numFmtId="0" fontId="126" fillId="0" borderId="28" xfId="390" applyFont="1" applyBorder="1" applyAlignment="1">
      <alignment horizontal="center"/>
    </xf>
    <xf numFmtId="10" fontId="109" fillId="0" borderId="0" xfId="390" applyNumberFormat="1"/>
    <xf numFmtId="168" fontId="115" fillId="38" borderId="52" xfId="348" applyNumberFormat="1" applyFont="1" applyFill="1" applyBorder="1" applyAlignment="1" applyProtection="1">
      <alignment horizontal="center" vertical="center" wrapText="1"/>
    </xf>
    <xf numFmtId="10" fontId="30" fillId="0" borderId="50" xfId="458" applyNumberFormat="1" applyFill="1" applyBorder="1" applyAlignment="1">
      <alignment horizontal="center"/>
    </xf>
    <xf numFmtId="10" fontId="30" fillId="0" borderId="4" xfId="458" applyNumberFormat="1" applyFill="1" applyBorder="1" applyAlignment="1">
      <alignment horizontal="center"/>
    </xf>
    <xf numFmtId="10" fontId="30" fillId="0" borderId="51" xfId="458" applyNumberFormat="1" applyFill="1" applyBorder="1" applyAlignment="1">
      <alignment horizontal="center"/>
    </xf>
    <xf numFmtId="10" fontId="30" fillId="0" borderId="0" xfId="458" applyNumberFormat="1" applyFill="1" applyBorder="1" applyAlignment="1">
      <alignment horizontal="center"/>
    </xf>
    <xf numFmtId="39" fontId="118" fillId="0" borderId="0" xfId="454" applyFont="1" applyFill="1" applyBorder="1" applyAlignment="1">
      <alignment horizontal="center"/>
    </xf>
    <xf numFmtId="17" fontId="118" fillId="0" borderId="0" xfId="454" applyNumberFormat="1" applyFont="1" applyFill="1" applyBorder="1" applyAlignment="1">
      <alignment horizontal="center"/>
    </xf>
    <xf numFmtId="39" fontId="59" fillId="0" borderId="49" xfId="0" applyFont="1" applyBorder="1"/>
    <xf numFmtId="39" fontId="59" fillId="0" borderId="52" xfId="0" applyFont="1" applyBorder="1"/>
    <xf numFmtId="39" fontId="30" fillId="0" borderId="0" xfId="454" applyFill="1" applyBorder="1"/>
    <xf numFmtId="39" fontId="63" fillId="5" borderId="50" xfId="454" applyFont="1" applyBorder="1"/>
    <xf numFmtId="39" fontId="63" fillId="5" borderId="4" xfId="454" applyFont="1"/>
    <xf numFmtId="39" fontId="63" fillId="5" borderId="51" xfId="454" applyFont="1" applyBorder="1"/>
    <xf numFmtId="39" fontId="127" fillId="5" borderId="28" xfId="454" applyFont="1" applyBorder="1"/>
    <xf numFmtId="39" fontId="127" fillId="5" borderId="28" xfId="454" applyFont="1" applyBorder="1" applyAlignment="1">
      <alignment horizontal="center"/>
    </xf>
    <xf numFmtId="39" fontId="127" fillId="49" borderId="28" xfId="454" applyFont="1" applyFill="1" applyBorder="1" applyAlignment="1">
      <alignment horizontal="center"/>
    </xf>
    <xf numFmtId="17" fontId="127" fillId="49" borderId="28" xfId="454" applyNumberFormat="1" applyFont="1" applyFill="1" applyBorder="1" applyAlignment="1">
      <alignment horizontal="center"/>
    </xf>
    <xf numFmtId="10" fontId="30" fillId="47" borderId="28" xfId="458" applyNumberFormat="1" applyFill="1" applyBorder="1"/>
    <xf numFmtId="10" fontId="30" fillId="36" borderId="28" xfId="458" applyNumberFormat="1" applyFill="1" applyBorder="1"/>
    <xf numFmtId="10" fontId="119" fillId="48" borderId="28" xfId="458" applyNumberFormat="1" applyFont="1" applyFill="1" applyBorder="1"/>
    <xf numFmtId="39" fontId="0" fillId="0" borderId="28" xfId="0" applyBorder="1" applyAlignment="1">
      <alignment horizontal="center" wrapText="1"/>
    </xf>
    <xf numFmtId="39" fontId="0" fillId="0" borderId="33" xfId="0" applyBorder="1" applyAlignment="1">
      <alignment horizontal="center" wrapText="1"/>
    </xf>
    <xf numFmtId="39" fontId="0" fillId="0" borderId="28" xfId="0" applyBorder="1" applyAlignment="1">
      <alignment vertical="center" wrapText="1"/>
    </xf>
    <xf numFmtId="39" fontId="0" fillId="0" borderId="53" xfId="0" applyBorder="1" applyAlignment="1">
      <alignment horizontal="center" wrapText="1"/>
    </xf>
    <xf numFmtId="39" fontId="0" fillId="0" borderId="53" xfId="0" applyBorder="1"/>
    <xf numFmtId="39" fontId="0" fillId="50" borderId="28" xfId="0" applyFill="1" applyBorder="1" applyAlignment="1">
      <alignment horizontal="center"/>
    </xf>
    <xf numFmtId="39" fontId="0" fillId="45" borderId="28" xfId="0" applyFill="1" applyBorder="1" applyAlignment="1">
      <alignment horizontal="center"/>
    </xf>
    <xf numFmtId="39" fontId="64" fillId="0" borderId="33" xfId="0" applyFont="1" applyBorder="1" applyAlignment="1">
      <alignment vertical="center" wrapText="1"/>
    </xf>
    <xf numFmtId="39" fontId="64" fillId="0" borderId="33" xfId="0" applyFont="1" applyBorder="1" applyAlignment="1">
      <alignment horizontal="center" wrapText="1"/>
    </xf>
    <xf numFmtId="39" fontId="0" fillId="51" borderId="28" xfId="0" applyFill="1" applyBorder="1" applyAlignment="1">
      <alignment horizontal="center"/>
    </xf>
    <xf numFmtId="39" fontId="127" fillId="5" borderId="48" xfId="454" applyFont="1" applyBorder="1" applyAlignment="1">
      <alignment horizontal="center"/>
    </xf>
    <xf numFmtId="10" fontId="63" fillId="5" borderId="54" xfId="458" applyNumberFormat="1" applyFont="1" applyFill="1" applyBorder="1" applyAlignment="1">
      <alignment horizontal="center"/>
    </xf>
    <xf numFmtId="10" fontId="63" fillId="5" borderId="55" xfId="458" applyNumberFormat="1" applyFont="1" applyFill="1" applyBorder="1" applyAlignment="1">
      <alignment horizontal="center"/>
    </xf>
    <xf numFmtId="10" fontId="63" fillId="5" borderId="56" xfId="458" applyNumberFormat="1" applyFont="1" applyFill="1" applyBorder="1" applyAlignment="1">
      <alignment horizontal="center"/>
    </xf>
    <xf numFmtId="10" fontId="30" fillId="0" borderId="57" xfId="458" applyNumberFormat="1" applyFill="1" applyBorder="1" applyAlignment="1">
      <alignment horizontal="center"/>
    </xf>
    <xf numFmtId="10" fontId="30" fillId="0" borderId="58" xfId="458" applyNumberFormat="1" applyFill="1" applyBorder="1" applyAlignment="1">
      <alignment horizontal="center"/>
    </xf>
    <xf numFmtId="10" fontId="30" fillId="0" borderId="59" xfId="458" applyNumberFormat="1" applyFill="1" applyBorder="1" applyAlignment="1">
      <alignment horizontal="center"/>
    </xf>
    <xf numFmtId="10" fontId="63" fillId="52" borderId="28" xfId="458" applyNumberFormat="1" applyFont="1" applyFill="1" applyBorder="1" applyAlignment="1">
      <alignment horizontal="center"/>
    </xf>
    <xf numFmtId="10" fontId="63" fillId="49" borderId="28" xfId="458" applyNumberFormat="1" applyFont="1" applyFill="1" applyBorder="1" applyAlignment="1">
      <alignment horizontal="center"/>
    </xf>
    <xf numFmtId="168" fontId="0" fillId="0" borderId="28" xfId="0" applyNumberFormat="1" applyBorder="1"/>
    <xf numFmtId="38" fontId="0" fillId="0" borderId="28" xfId="0" applyNumberFormat="1" applyBorder="1"/>
    <xf numFmtId="37" fontId="0" fillId="0" borderId="28" xfId="0" applyNumberFormat="1" applyBorder="1"/>
    <xf numFmtId="39" fontId="63" fillId="0" borderId="28" xfId="0" applyFont="1" applyBorder="1"/>
    <xf numFmtId="39" fontId="63" fillId="0" borderId="0" xfId="0" applyFont="1"/>
    <xf numFmtId="39" fontId="68" fillId="0" borderId="28" xfId="0" applyFont="1" applyBorder="1" applyAlignment="1">
      <alignment horizontal="center"/>
    </xf>
    <xf numFmtId="37" fontId="68" fillId="0" borderId="28" xfId="0" applyNumberFormat="1" applyFont="1" applyBorder="1" applyAlignment="1">
      <alignment horizontal="center"/>
    </xf>
    <xf numFmtId="39" fontId="69" fillId="0" borderId="0" xfId="0" applyFont="1"/>
    <xf numFmtId="10" fontId="68" fillId="0" borderId="28" xfId="458" applyNumberFormat="1" applyFont="1" applyBorder="1" applyAlignment="1">
      <alignment horizontal="center"/>
    </xf>
    <xf numFmtId="39" fontId="68" fillId="0" borderId="0" xfId="0" applyFont="1" applyAlignment="1">
      <alignment horizontal="center"/>
    </xf>
    <xf numFmtId="10" fontId="68" fillId="0" borderId="0" xfId="458" applyNumberFormat="1" applyFont="1" applyBorder="1" applyAlignment="1">
      <alignment horizontal="center"/>
    </xf>
    <xf numFmtId="39" fontId="0" fillId="0" borderId="0" xfId="0" applyAlignment="1">
      <alignment horizontal="right"/>
    </xf>
    <xf numFmtId="39" fontId="63" fillId="0" borderId="0" xfId="0" applyFont="1" applyAlignment="1">
      <alignment horizontal="left"/>
    </xf>
    <xf numFmtId="3" fontId="0" fillId="0" borderId="28" xfId="0" applyNumberFormat="1" applyBorder="1"/>
    <xf numFmtId="168" fontId="0" fillId="0" borderId="0" xfId="0" applyNumberFormat="1"/>
    <xf numFmtId="39" fontId="70" fillId="0" borderId="28" xfId="0" applyFont="1" applyBorder="1" applyAlignment="1">
      <alignment wrapText="1"/>
    </xf>
    <xf numFmtId="39" fontId="70" fillId="0" borderId="30" xfId="0" applyFont="1" applyBorder="1"/>
    <xf numFmtId="39" fontId="70" fillId="0" borderId="0" xfId="0" applyFont="1"/>
    <xf numFmtId="39" fontId="70" fillId="0" borderId="28" xfId="0" applyFont="1" applyBorder="1" applyAlignment="1">
      <alignment horizontal="center"/>
    </xf>
    <xf numFmtId="37" fontId="70" fillId="0" borderId="28" xfId="0" applyNumberFormat="1" applyFont="1" applyBorder="1" applyAlignment="1">
      <alignment horizontal="center"/>
    </xf>
    <xf numFmtId="39" fontId="71" fillId="0" borderId="0" xfId="0" applyFont="1"/>
    <xf numFmtId="38" fontId="74" fillId="0" borderId="0" xfId="335" applyNumberFormat="1" applyFont="1" applyFill="1" applyBorder="1" applyAlignment="1" applyProtection="1">
      <alignment horizontal="center"/>
    </xf>
    <xf numFmtId="38" fontId="75" fillId="0" borderId="0" xfId="335" applyNumberFormat="1" applyFont="1" applyFill="1" applyBorder="1"/>
    <xf numFmtId="38" fontId="74" fillId="0" borderId="0" xfId="335" applyNumberFormat="1" applyFont="1" applyFill="1" applyBorder="1" applyAlignment="1">
      <alignment horizontal="left"/>
    </xf>
    <xf numFmtId="167" fontId="74" fillId="0" borderId="0" xfId="458" applyNumberFormat="1" applyFont="1" applyFill="1" applyBorder="1" applyAlignment="1">
      <alignment horizontal="center"/>
    </xf>
    <xf numFmtId="38" fontId="74" fillId="0" borderId="0" xfId="335" applyNumberFormat="1" applyFont="1" applyFill="1" applyBorder="1" applyAlignment="1" applyProtection="1"/>
    <xf numFmtId="167" fontId="74" fillId="0" borderId="0" xfId="458" applyNumberFormat="1" applyFont="1" applyFill="1" applyBorder="1" applyAlignment="1" applyProtection="1"/>
    <xf numFmtId="38" fontId="75" fillId="0" borderId="0" xfId="335" applyNumberFormat="1" applyFont="1" applyFill="1" applyBorder="1" applyAlignment="1">
      <alignment horizontal="left"/>
    </xf>
    <xf numFmtId="38" fontId="75" fillId="0" borderId="0" xfId="335" applyNumberFormat="1" applyFont="1" applyFill="1" applyBorder="1" applyAlignment="1" applyProtection="1"/>
    <xf numFmtId="167" fontId="75" fillId="0" borderId="0" xfId="458" applyNumberFormat="1" applyFont="1" applyFill="1" applyBorder="1" applyAlignment="1" applyProtection="1"/>
    <xf numFmtId="38" fontId="75" fillId="0" borderId="0" xfId="335" applyNumberFormat="1" applyFont="1" applyFill="1" applyBorder="1" applyAlignment="1" applyProtection="1">
      <alignment horizontal="center"/>
    </xf>
    <xf numFmtId="9" fontId="74" fillId="0" borderId="0" xfId="458" applyFont="1" applyFill="1" applyBorder="1" applyAlignment="1" applyProtection="1"/>
    <xf numFmtId="38" fontId="75" fillId="0" borderId="0" xfId="335" applyNumberFormat="1" applyFont="1" applyFill="1" applyBorder="1" applyAlignment="1" applyProtection="1">
      <alignment horizontal="right"/>
    </xf>
    <xf numFmtId="38" fontId="74" fillId="0" borderId="0" xfId="335" applyNumberFormat="1" applyFont="1" applyFill="1" applyBorder="1"/>
    <xf numFmtId="38" fontId="75" fillId="0" borderId="0" xfId="335" applyNumberFormat="1" applyFont="1" applyFill="1" applyBorder="1" applyAlignment="1">
      <alignment horizontal="center"/>
    </xf>
    <xf numFmtId="38" fontId="74" fillId="0" borderId="0" xfId="335" applyNumberFormat="1" applyFont="1" applyFill="1" applyBorder="1" applyAlignment="1" applyProtection="1">
      <alignment horizontal="center" vertical="center" wrapText="1"/>
    </xf>
    <xf numFmtId="38" fontId="75" fillId="0" borderId="0" xfId="335" applyNumberFormat="1" applyFont="1" applyFill="1" applyBorder="1" applyAlignment="1" applyProtection="1">
      <alignment horizontal="left"/>
    </xf>
    <xf numFmtId="10" fontId="75" fillId="0" borderId="0" xfId="335" applyNumberFormat="1" applyFont="1" applyFill="1" applyBorder="1"/>
    <xf numFmtId="38" fontId="74" fillId="0" borderId="0" xfId="335" applyNumberFormat="1" applyFont="1" applyFill="1" applyBorder="1" applyAlignment="1"/>
    <xf numFmtId="38" fontId="75" fillId="0" borderId="28" xfId="335" applyNumberFormat="1" applyFont="1" applyFill="1" applyBorder="1"/>
    <xf numFmtId="38" fontId="74" fillId="0" borderId="28" xfId="335" applyNumberFormat="1" applyFont="1" applyFill="1" applyBorder="1" applyAlignment="1" applyProtection="1"/>
    <xf numFmtId="167" fontId="74" fillId="0" borderId="28" xfId="458" applyNumberFormat="1" applyFont="1" applyFill="1" applyBorder="1" applyAlignment="1">
      <alignment horizontal="center"/>
    </xf>
    <xf numFmtId="167" fontId="75" fillId="0" borderId="28" xfId="458" applyNumberFormat="1" applyFont="1" applyFill="1" applyBorder="1" applyAlignment="1">
      <alignment horizontal="center"/>
    </xf>
    <xf numFmtId="167" fontId="74" fillId="0" borderId="28" xfId="458" applyNumberFormat="1" applyFont="1" applyFill="1" applyBorder="1" applyAlignment="1" applyProtection="1"/>
    <xf numFmtId="167" fontId="75" fillId="0" borderId="28" xfId="458" applyNumberFormat="1" applyFont="1" applyFill="1" applyBorder="1" applyAlignment="1" applyProtection="1">
      <alignment horizontal="center"/>
    </xf>
    <xf numFmtId="38" fontId="75" fillId="0" borderId="28" xfId="335" applyNumberFormat="1" applyFont="1" applyFill="1" applyBorder="1" applyAlignment="1" applyProtection="1"/>
    <xf numFmtId="38" fontId="75" fillId="0" borderId="28" xfId="335" applyNumberFormat="1" applyFont="1" applyFill="1" applyBorder="1" applyAlignment="1">
      <alignment vertical="center"/>
    </xf>
    <xf numFmtId="0" fontId="75" fillId="0" borderId="28" xfId="335" applyNumberFormat="1" applyFont="1" applyFill="1" applyBorder="1" applyAlignment="1">
      <alignment horizontal="right"/>
    </xf>
    <xf numFmtId="38" fontId="74" fillId="0" borderId="28" xfId="335" applyNumberFormat="1" applyFont="1" applyFill="1" applyBorder="1" applyAlignment="1">
      <alignment horizontal="left"/>
    </xf>
    <xf numFmtId="38" fontId="74" fillId="0" borderId="48" xfId="335" applyNumberFormat="1" applyFont="1" applyFill="1" applyBorder="1" applyAlignment="1"/>
    <xf numFmtId="38" fontId="74" fillId="0" borderId="37" xfId="335" applyNumberFormat="1" applyFont="1" applyFill="1" applyBorder="1" applyAlignment="1"/>
    <xf numFmtId="169" fontId="74" fillId="0" borderId="28" xfId="458" applyNumberFormat="1" applyFont="1" applyFill="1" applyBorder="1" applyAlignment="1">
      <alignment horizontal="center"/>
    </xf>
    <xf numFmtId="38" fontId="75" fillId="0" borderId="28" xfId="335" applyNumberFormat="1" applyFont="1" applyFill="1" applyBorder="1" applyAlignment="1" applyProtection="1">
      <alignment horizontal="right"/>
    </xf>
    <xf numFmtId="9" fontId="74" fillId="0" borderId="28" xfId="458" applyFont="1" applyFill="1" applyBorder="1" applyAlignment="1" applyProtection="1"/>
    <xf numFmtId="38" fontId="74" fillId="0" borderId="48" xfId="335" applyNumberFormat="1" applyFont="1" applyFill="1" applyBorder="1" applyAlignment="1">
      <alignment horizontal="left"/>
    </xf>
    <xf numFmtId="38" fontId="74" fillId="0" borderId="37" xfId="335" applyNumberFormat="1" applyFont="1" applyFill="1" applyBorder="1" applyAlignment="1">
      <alignment horizontal="left"/>
    </xf>
    <xf numFmtId="38" fontId="75" fillId="0" borderId="53" xfId="335" applyNumberFormat="1" applyFont="1" applyFill="1" applyBorder="1" applyAlignment="1">
      <alignment horizontal="right"/>
    </xf>
    <xf numFmtId="38" fontId="75" fillId="0" borderId="53" xfId="335" applyNumberFormat="1" applyFont="1" applyFill="1" applyBorder="1"/>
    <xf numFmtId="167" fontId="75" fillId="0" borderId="53" xfId="458" applyNumberFormat="1" applyFont="1" applyFill="1" applyBorder="1" applyAlignment="1" applyProtection="1">
      <alignment horizontal="center"/>
    </xf>
    <xf numFmtId="38" fontId="74" fillId="0" borderId="0" xfId="335" applyNumberFormat="1" applyFont="1" applyFill="1" applyBorder="1" applyAlignment="1" applyProtection="1">
      <alignment vertical="center" wrapText="1"/>
    </xf>
    <xf numFmtId="9" fontId="75" fillId="0" borderId="0" xfId="458" applyFont="1" applyFill="1" applyBorder="1" applyAlignment="1" applyProtection="1">
      <alignment horizontal="center"/>
    </xf>
    <xf numFmtId="0" fontId="74" fillId="53" borderId="28" xfId="335" applyNumberFormat="1" applyFont="1" applyFill="1" applyBorder="1" applyAlignment="1" applyProtection="1">
      <alignment horizontal="center"/>
    </xf>
    <xf numFmtId="10" fontId="74" fillId="53" borderId="28" xfId="335" applyNumberFormat="1" applyFont="1" applyFill="1" applyBorder="1" applyAlignment="1">
      <alignment horizontal="center"/>
    </xf>
    <xf numFmtId="38" fontId="74" fillId="53" borderId="28" xfId="335" applyNumberFormat="1" applyFont="1" applyFill="1" applyBorder="1" applyAlignment="1" applyProtection="1"/>
    <xf numFmtId="167" fontId="74" fillId="53" borderId="28" xfId="458" applyNumberFormat="1" applyFont="1" applyFill="1" applyBorder="1" applyAlignment="1">
      <alignment horizontal="center"/>
    </xf>
    <xf numFmtId="38" fontId="74" fillId="53" borderId="48" xfId="335" applyNumberFormat="1" applyFont="1" applyFill="1" applyBorder="1" applyAlignment="1"/>
    <xf numFmtId="38" fontId="74" fillId="53" borderId="37" xfId="335" applyNumberFormat="1" applyFont="1" applyFill="1" applyBorder="1" applyAlignment="1"/>
    <xf numFmtId="38" fontId="74" fillId="53" borderId="28" xfId="335" applyNumberFormat="1" applyFont="1" applyFill="1" applyBorder="1" applyAlignment="1"/>
    <xf numFmtId="9" fontId="74" fillId="53" borderId="28" xfId="335" applyNumberFormat="1" applyFont="1" applyFill="1" applyBorder="1" applyAlignment="1" applyProtection="1"/>
    <xf numFmtId="38" fontId="75" fillId="0" borderId="28" xfId="335" applyNumberFormat="1" applyFont="1" applyFill="1" applyBorder="1" applyAlignment="1">
      <alignment horizontal="left"/>
    </xf>
    <xf numFmtId="38" fontId="75" fillId="54" borderId="0" xfId="335" applyNumberFormat="1" applyFont="1" applyFill="1" applyBorder="1"/>
    <xf numFmtId="38" fontId="74" fillId="54" borderId="0" xfId="335" applyNumberFormat="1" applyFont="1" applyFill="1" applyBorder="1"/>
    <xf numFmtId="38" fontId="74" fillId="54" borderId="0" xfId="335" applyNumberFormat="1" applyFont="1" applyFill="1" applyBorder="1" applyAlignment="1"/>
    <xf numFmtId="38" fontId="74" fillId="54" borderId="0" xfId="335" applyNumberFormat="1" applyFont="1" applyFill="1" applyBorder="1" applyAlignment="1" applyProtection="1"/>
    <xf numFmtId="167" fontId="74" fillId="54" borderId="0" xfId="458" applyNumberFormat="1" applyFont="1" applyFill="1" applyBorder="1" applyAlignment="1">
      <alignment horizontal="center"/>
    </xf>
    <xf numFmtId="38" fontId="75" fillId="54" borderId="0" xfId="335" applyNumberFormat="1" applyFont="1" applyFill="1" applyBorder="1" applyAlignment="1" applyProtection="1"/>
    <xf numFmtId="10" fontId="75" fillId="54" borderId="0" xfId="335" applyNumberFormat="1" applyFont="1" applyFill="1" applyBorder="1" applyAlignment="1" applyProtection="1">
      <alignment horizontal="center"/>
    </xf>
    <xf numFmtId="38" fontId="74" fillId="54" borderId="0" xfId="335" applyNumberFormat="1" applyFont="1" applyFill="1" applyBorder="1" applyAlignment="1" applyProtection="1">
      <alignment horizontal="center"/>
    </xf>
    <xf numFmtId="10" fontId="74" fillId="54" borderId="0" xfId="335" applyNumberFormat="1" applyFont="1" applyFill="1" applyBorder="1" applyAlignment="1">
      <alignment horizontal="center"/>
    </xf>
    <xf numFmtId="38" fontId="75" fillId="54" borderId="0" xfId="335" applyNumberFormat="1" applyFont="1" applyFill="1" applyBorder="1" applyAlignment="1" applyProtection="1">
      <alignment horizontal="center"/>
    </xf>
    <xf numFmtId="38" fontId="74" fillId="54" borderId="0" xfId="335" applyNumberFormat="1" applyFont="1" applyFill="1" applyBorder="1" applyAlignment="1">
      <alignment horizontal="center"/>
    </xf>
    <xf numFmtId="4" fontId="76" fillId="54" borderId="0" xfId="0" applyNumberFormat="1" applyFont="1" applyFill="1" applyAlignment="1">
      <alignment vertical="center"/>
    </xf>
    <xf numFmtId="38" fontId="75" fillId="54" borderId="0" xfId="335" applyNumberFormat="1" applyFont="1" applyFill="1" applyBorder="1" applyAlignment="1"/>
    <xf numFmtId="38" fontId="74" fillId="54" borderId="0" xfId="335" applyNumberFormat="1" applyFont="1" applyFill="1" applyBorder="1" applyAlignment="1" applyProtection="1">
      <alignment vertical="center" wrapText="1"/>
    </xf>
    <xf numFmtId="38" fontId="74" fillId="54" borderId="0" xfId="335" applyNumberFormat="1" applyFont="1" applyFill="1" applyBorder="1" applyAlignment="1" applyProtection="1">
      <alignment horizontal="center" vertical="center" wrapText="1"/>
    </xf>
    <xf numFmtId="10" fontId="75" fillId="54" borderId="0" xfId="335" applyNumberFormat="1" applyFont="1" applyFill="1" applyBorder="1" applyAlignment="1" applyProtection="1"/>
    <xf numFmtId="10" fontId="75" fillId="54" borderId="0" xfId="335" applyNumberFormat="1" applyFont="1" applyFill="1" applyBorder="1"/>
    <xf numFmtId="38" fontId="75" fillId="0" borderId="0" xfId="335" applyNumberFormat="1" applyFont="1" applyFill="1"/>
    <xf numFmtId="38" fontId="75" fillId="0" borderId="28" xfId="335" applyNumberFormat="1" applyFont="1" applyFill="1" applyBorder="1" applyAlignment="1" applyProtection="1">
      <alignment horizontal="left"/>
    </xf>
    <xf numFmtId="9" fontId="75" fillId="0" borderId="28" xfId="458" applyFont="1" applyFill="1" applyBorder="1" applyAlignment="1" applyProtection="1">
      <alignment horizontal="center"/>
    </xf>
    <xf numFmtId="3" fontId="75" fillId="0" borderId="28" xfId="399" applyNumberFormat="1" applyFont="1" applyBorder="1" applyAlignment="1">
      <alignment horizontal="right"/>
    </xf>
    <xf numFmtId="38" fontId="75" fillId="0" borderId="28" xfId="335" applyNumberFormat="1" applyFont="1" applyFill="1" applyBorder="1" applyProtection="1"/>
    <xf numFmtId="9" fontId="75" fillId="0" borderId="28" xfId="458" applyFont="1" applyFill="1" applyBorder="1" applyAlignment="1" applyProtection="1"/>
    <xf numFmtId="9" fontId="74" fillId="0" borderId="28" xfId="458" applyFont="1" applyFill="1" applyBorder="1" applyAlignment="1">
      <alignment horizontal="center"/>
    </xf>
    <xf numFmtId="167" fontId="75" fillId="0" borderId="28" xfId="458" applyNumberFormat="1" applyFont="1" applyFill="1" applyBorder="1" applyProtection="1"/>
    <xf numFmtId="168" fontId="75" fillId="0" borderId="28" xfId="447" applyNumberFormat="1" applyFont="1" applyBorder="1" applyAlignment="1">
      <alignment horizontal="left"/>
    </xf>
    <xf numFmtId="168" fontId="75" fillId="0" borderId="28" xfId="420" applyNumberFormat="1" applyFont="1" applyBorder="1"/>
    <xf numFmtId="168" fontId="75" fillId="0" borderId="28" xfId="348" applyNumberFormat="1" applyFont="1" applyFill="1" applyBorder="1" applyAlignment="1" applyProtection="1"/>
    <xf numFmtId="9" fontId="75" fillId="0" borderId="28" xfId="458" applyFont="1" applyFill="1" applyBorder="1" applyAlignment="1">
      <alignment horizontal="center"/>
    </xf>
    <xf numFmtId="38" fontId="75" fillId="0" borderId="0" xfId="335" applyNumberFormat="1" applyFont="1" applyFill="1" applyAlignment="1">
      <alignment horizontal="right"/>
    </xf>
    <xf numFmtId="38" fontId="75" fillId="54" borderId="0" xfId="335" applyNumberFormat="1" applyFont="1" applyFill="1" applyBorder="1" applyAlignment="1" applyProtection="1">
      <alignment horizontal="right"/>
    </xf>
    <xf numFmtId="9" fontId="74" fillId="0" borderId="0" xfId="458" applyFont="1" applyFill="1" applyBorder="1" applyAlignment="1">
      <alignment horizontal="center"/>
    </xf>
    <xf numFmtId="9" fontId="75" fillId="0" borderId="0" xfId="458" applyFont="1" applyFill="1" applyBorder="1" applyAlignment="1" applyProtection="1"/>
    <xf numFmtId="38" fontId="75" fillId="54" borderId="0" xfId="335" applyNumberFormat="1" applyFont="1" applyFill="1" applyBorder="1" applyAlignment="1">
      <alignment horizontal="left"/>
    </xf>
    <xf numFmtId="38" fontId="75" fillId="54" borderId="0" xfId="335" applyNumberFormat="1" applyFont="1" applyFill="1" applyBorder="1" applyAlignment="1">
      <alignment horizontal="center"/>
    </xf>
    <xf numFmtId="38" fontId="75" fillId="0" borderId="0" xfId="335" applyNumberFormat="1" applyFont="1" applyFill="1" applyBorder="1" applyProtection="1"/>
    <xf numFmtId="38" fontId="75" fillId="0" borderId="29" xfId="335" applyNumberFormat="1" applyFont="1" applyFill="1" applyBorder="1" applyAlignment="1">
      <alignment horizontal="center"/>
    </xf>
    <xf numFmtId="38" fontId="75" fillId="0" borderId="49" xfId="335" applyNumberFormat="1" applyFont="1" applyFill="1" applyBorder="1" applyAlignment="1">
      <alignment horizontal="center"/>
    </xf>
    <xf numFmtId="38" fontId="75" fillId="54" borderId="0" xfId="335" applyNumberFormat="1" applyFont="1" applyFill="1" applyBorder="1" applyAlignment="1">
      <alignment horizontal="right"/>
    </xf>
    <xf numFmtId="168" fontId="75" fillId="0" borderId="48" xfId="420" applyNumberFormat="1" applyFont="1" applyBorder="1"/>
    <xf numFmtId="0" fontId="74" fillId="55" borderId="28" xfId="335" applyNumberFormat="1" applyFont="1" applyFill="1" applyBorder="1" applyAlignment="1" applyProtection="1">
      <alignment horizontal="center"/>
    </xf>
    <xf numFmtId="38" fontId="74" fillId="55" borderId="28" xfId="335" applyNumberFormat="1" applyFont="1" applyFill="1" applyBorder="1" applyAlignment="1" applyProtection="1">
      <alignment horizontal="center" vertical="center" wrapText="1"/>
    </xf>
    <xf numFmtId="38" fontId="74" fillId="55" borderId="28" xfId="335" applyNumberFormat="1" applyFont="1" applyFill="1" applyBorder="1" applyAlignment="1">
      <alignment horizontal="left"/>
    </xf>
    <xf numFmtId="38" fontId="74" fillId="55" borderId="28" xfId="335" applyNumberFormat="1" applyFont="1" applyFill="1" applyBorder="1" applyAlignment="1" applyProtection="1"/>
    <xf numFmtId="9" fontId="74" fillId="55" borderId="28" xfId="458" applyFont="1" applyFill="1" applyBorder="1" applyAlignment="1">
      <alignment horizontal="center"/>
    </xf>
    <xf numFmtId="9" fontId="74" fillId="55" borderId="28" xfId="458" applyFont="1" applyFill="1" applyBorder="1" applyAlignment="1" applyProtection="1"/>
    <xf numFmtId="168" fontId="75" fillId="0" borderId="0" xfId="420" applyNumberFormat="1" applyFont="1"/>
    <xf numFmtId="168" fontId="75" fillId="0" borderId="53" xfId="420" applyNumberFormat="1" applyFont="1" applyBorder="1"/>
    <xf numFmtId="168" fontId="74" fillId="0" borderId="28" xfId="348" applyNumberFormat="1" applyFont="1" applyFill="1" applyBorder="1" applyAlignment="1" applyProtection="1">
      <alignment horizontal="center" vertical="center" wrapText="1"/>
    </xf>
    <xf numFmtId="168" fontId="75" fillId="0" borderId="33" xfId="420" applyNumberFormat="1" applyFont="1" applyBorder="1"/>
    <xf numFmtId="168" fontId="75" fillId="0" borderId="28" xfId="360" applyNumberFormat="1" applyFont="1" applyFill="1" applyBorder="1" applyAlignment="1" applyProtection="1">
      <alignment horizontal="right"/>
    </xf>
    <xf numFmtId="168" fontId="74" fillId="0" borderId="28" xfId="399" applyNumberFormat="1" applyFont="1" applyBorder="1" applyAlignment="1">
      <alignment horizontal="left"/>
    </xf>
    <xf numFmtId="168" fontId="74" fillId="0" borderId="28" xfId="360" applyNumberFormat="1" applyFont="1" applyFill="1" applyBorder="1" applyAlignment="1" applyProtection="1"/>
    <xf numFmtId="168" fontId="74" fillId="0" borderId="0" xfId="420" applyNumberFormat="1" applyFont="1"/>
    <xf numFmtId="168" fontId="74" fillId="0" borderId="28" xfId="420" applyNumberFormat="1" applyFont="1" applyBorder="1"/>
    <xf numFmtId="168" fontId="74" fillId="0" borderId="28" xfId="420" applyNumberFormat="1" applyFont="1" applyBorder="1" applyAlignment="1">
      <alignment horizontal="right"/>
    </xf>
    <xf numFmtId="168" fontId="74" fillId="0" borderId="0" xfId="360" applyNumberFormat="1" applyFont="1" applyFill="1" applyBorder="1" applyAlignment="1" applyProtection="1"/>
    <xf numFmtId="168" fontId="75" fillId="0" borderId="37" xfId="420" applyNumberFormat="1" applyFont="1" applyBorder="1"/>
    <xf numFmtId="168" fontId="75" fillId="0" borderId="28" xfId="360" applyNumberFormat="1" applyFont="1" applyFill="1" applyBorder="1" applyAlignment="1" applyProtection="1">
      <alignment horizontal="center"/>
    </xf>
    <xf numFmtId="168" fontId="74" fillId="0" borderId="53" xfId="420" applyNumberFormat="1" applyFont="1" applyBorder="1"/>
    <xf numFmtId="168" fontId="74" fillId="54" borderId="0" xfId="360" applyNumberFormat="1" applyFont="1" applyFill="1" applyBorder="1" applyAlignment="1" applyProtection="1"/>
    <xf numFmtId="168" fontId="74" fillId="54" borderId="61" xfId="360" applyNumberFormat="1" applyFont="1" applyFill="1" applyBorder="1" applyAlignment="1" applyProtection="1"/>
    <xf numFmtId="168" fontId="74" fillId="54" borderId="0" xfId="348" applyNumberFormat="1" applyFont="1" applyFill="1" applyBorder="1" applyAlignment="1" applyProtection="1">
      <alignment horizontal="center" vertical="center" wrapText="1"/>
    </xf>
    <xf numFmtId="168" fontId="74" fillId="54" borderId="0" xfId="399" applyNumberFormat="1" applyFont="1" applyFill="1" applyAlignment="1">
      <alignment horizontal="left"/>
    </xf>
    <xf numFmtId="168" fontId="74" fillId="54" borderId="0" xfId="399" applyNumberFormat="1" applyFont="1" applyFill="1" applyAlignment="1">
      <alignment horizontal="center"/>
    </xf>
    <xf numFmtId="168" fontId="74" fillId="54" borderId="0" xfId="348" applyNumberFormat="1" applyFont="1" applyFill="1" applyBorder="1" applyAlignment="1" applyProtection="1">
      <alignment vertical="center" wrapText="1"/>
    </xf>
    <xf numFmtId="168" fontId="74" fillId="54" borderId="0" xfId="420" applyNumberFormat="1" applyFont="1" applyFill="1"/>
    <xf numFmtId="168" fontId="75" fillId="54" borderId="0" xfId="420" applyNumberFormat="1" applyFont="1" applyFill="1" applyAlignment="1">
      <alignment horizontal="right"/>
    </xf>
    <xf numFmtId="168" fontId="74" fillId="55" borderId="28" xfId="348" applyNumberFormat="1" applyFont="1" applyFill="1" applyBorder="1" applyAlignment="1" applyProtection="1">
      <alignment vertical="center" wrapText="1"/>
    </xf>
    <xf numFmtId="168" fontId="74" fillId="55" borderId="37" xfId="348" applyNumberFormat="1" applyFont="1" applyFill="1" applyBorder="1" applyAlignment="1" applyProtection="1">
      <alignment vertical="center" wrapText="1"/>
    </xf>
    <xf numFmtId="168" fontId="75" fillId="54" borderId="0" xfId="420" applyNumberFormat="1" applyFont="1" applyFill="1"/>
    <xf numFmtId="168" fontId="74" fillId="54" borderId="0" xfId="420" applyNumberFormat="1" applyFont="1" applyFill="1" applyAlignment="1">
      <alignment horizontal="right"/>
    </xf>
    <xf numFmtId="168" fontId="75" fillId="0" borderId="62" xfId="420" applyNumberFormat="1" applyFont="1" applyBorder="1"/>
    <xf numFmtId="9" fontId="75" fillId="54" borderId="0" xfId="335" applyNumberFormat="1" applyFont="1" applyFill="1" applyBorder="1" applyAlignment="1" applyProtection="1"/>
    <xf numFmtId="38" fontId="74" fillId="0" borderId="0" xfId="335" applyNumberFormat="1" applyFont="1" applyFill="1" applyBorder="1" applyAlignment="1">
      <alignment vertical="top"/>
    </xf>
    <xf numFmtId="38" fontId="115" fillId="0" borderId="0" xfId="335" applyNumberFormat="1" applyFont="1" applyFill="1" applyBorder="1" applyAlignment="1" applyProtection="1"/>
    <xf numFmtId="0" fontId="55" fillId="40" borderId="33" xfId="383" applyFont="1" applyFill="1" applyBorder="1" applyAlignment="1" applyProtection="1">
      <alignment vertical="center"/>
      <protection hidden="1"/>
    </xf>
    <xf numFmtId="39" fontId="54" fillId="0" borderId="28" xfId="0" applyFont="1" applyBorder="1" applyAlignment="1">
      <alignment horizontal="center"/>
    </xf>
    <xf numFmtId="9" fontId="128" fillId="0" borderId="29" xfId="464" applyFont="1" applyFill="1" applyBorder="1" applyAlignment="1" applyProtection="1"/>
    <xf numFmtId="9" fontId="128" fillId="0" borderId="49" xfId="464" applyFont="1" applyFill="1" applyBorder="1" applyAlignment="1" applyProtection="1"/>
    <xf numFmtId="172" fontId="109" fillId="0" borderId="0" xfId="365" applyNumberFormat="1" applyFont="1"/>
    <xf numFmtId="39" fontId="129" fillId="22" borderId="28" xfId="399" applyFont="1" applyFill="1" applyBorder="1" applyAlignment="1">
      <alignment horizontal="center"/>
    </xf>
    <xf numFmtId="0" fontId="129" fillId="22" borderId="28" xfId="348" applyNumberFormat="1" applyFont="1" applyFill="1" applyBorder="1" applyAlignment="1" applyProtection="1">
      <alignment horizontal="center"/>
    </xf>
    <xf numFmtId="17" fontId="129" fillId="22" borderId="28" xfId="348" applyNumberFormat="1" applyFont="1" applyFill="1" applyBorder="1" applyAlignment="1" applyProtection="1">
      <alignment horizontal="center"/>
    </xf>
    <xf numFmtId="39" fontId="130" fillId="0" borderId="28" xfId="399" applyFont="1" applyBorder="1" applyAlignment="1">
      <alignment horizontal="left"/>
    </xf>
    <xf numFmtId="3" fontId="130" fillId="0" borderId="28" xfId="399" applyNumberFormat="1" applyFont="1" applyBorder="1"/>
    <xf numFmtId="10" fontId="130" fillId="0" borderId="28" xfId="464" applyNumberFormat="1" applyFont="1" applyBorder="1"/>
    <xf numFmtId="39" fontId="129" fillId="6" borderId="28" xfId="399" applyFont="1" applyFill="1" applyBorder="1" applyAlignment="1">
      <alignment horizontal="center"/>
    </xf>
    <xf numFmtId="3" fontId="129" fillId="6" borderId="28" xfId="399" applyNumberFormat="1" applyFont="1" applyFill="1" applyBorder="1"/>
    <xf numFmtId="10" fontId="130" fillId="6" borderId="28" xfId="464" applyNumberFormat="1" applyFont="1" applyFill="1" applyBorder="1" applyProtection="1"/>
    <xf numFmtId="39" fontId="129" fillId="6" borderId="28" xfId="399" applyFont="1" applyFill="1" applyBorder="1" applyAlignment="1">
      <alignment horizontal="left"/>
    </xf>
    <xf numFmtId="39" fontId="129" fillId="6" borderId="28" xfId="399" applyFont="1" applyFill="1" applyBorder="1" applyAlignment="1">
      <alignment horizontal="right"/>
    </xf>
    <xf numFmtId="39" fontId="130" fillId="0" borderId="33" xfId="447" applyFont="1" applyBorder="1" applyAlignment="1">
      <alignment horizontal="left"/>
    </xf>
    <xf numFmtId="39" fontId="130" fillId="0" borderId="0" xfId="447" applyFont="1" applyAlignment="1">
      <alignment horizontal="left"/>
    </xf>
    <xf numFmtId="3" fontId="130" fillId="0" borderId="31" xfId="399" applyNumberFormat="1" applyFont="1" applyBorder="1"/>
    <xf numFmtId="10" fontId="130" fillId="0" borderId="33" xfId="464" applyNumberFormat="1" applyFont="1" applyBorder="1"/>
    <xf numFmtId="39" fontId="130" fillId="0" borderId="28" xfId="447" applyFont="1" applyBorder="1" applyAlignment="1">
      <alignment horizontal="left"/>
    </xf>
    <xf numFmtId="3" fontId="130" fillId="0" borderId="14" xfId="399" applyNumberFormat="1" applyFont="1" applyBorder="1"/>
    <xf numFmtId="168" fontId="130" fillId="0" borderId="14" xfId="399" applyNumberFormat="1" applyFont="1" applyBorder="1"/>
    <xf numFmtId="39" fontId="130" fillId="0" borderId="53" xfId="447" applyFont="1" applyBorder="1" applyAlignment="1">
      <alignment horizontal="left"/>
    </xf>
    <xf numFmtId="3" fontId="130" fillId="0" borderId="17" xfId="399" applyNumberFormat="1" applyFont="1" applyBorder="1"/>
    <xf numFmtId="39" fontId="129" fillId="6" borderId="28" xfId="399" applyFont="1" applyFill="1" applyBorder="1" applyAlignment="1">
      <alignment horizontal="left" vertical="center"/>
    </xf>
    <xf numFmtId="37" fontId="131" fillId="6" borderId="28" xfId="399" applyNumberFormat="1" applyFont="1" applyFill="1" applyBorder="1" applyAlignment="1">
      <alignment horizontal="right" vertical="center"/>
    </xf>
    <xf numFmtId="10" fontId="132" fillId="6" borderId="28" xfId="464" applyNumberFormat="1" applyFont="1" applyFill="1" applyBorder="1" applyAlignment="1" applyProtection="1">
      <alignment vertical="center"/>
    </xf>
    <xf numFmtId="3" fontId="131" fillId="6" borderId="28" xfId="399" applyNumberFormat="1" applyFont="1" applyFill="1" applyBorder="1" applyAlignment="1">
      <alignment vertical="center"/>
    </xf>
    <xf numFmtId="0" fontId="129" fillId="22" borderId="28" xfId="348" applyNumberFormat="1" applyFont="1" applyFill="1" applyBorder="1" applyAlignment="1" applyProtection="1">
      <alignment horizontal="center" wrapText="1"/>
    </xf>
    <xf numFmtId="3" fontId="130" fillId="0" borderId="14" xfId="399" applyNumberFormat="1" applyFont="1" applyBorder="1" applyAlignment="1">
      <alignment horizontal="right"/>
    </xf>
    <xf numFmtId="38" fontId="130" fillId="0" borderId="28" xfId="420" applyNumberFormat="1" applyFont="1" applyBorder="1"/>
    <xf numFmtId="39" fontId="130" fillId="0" borderId="28" xfId="420" applyFont="1" applyBorder="1"/>
    <xf numFmtId="0" fontId="82" fillId="54" borderId="28" xfId="449" applyFont="1" applyFill="1" applyBorder="1"/>
    <xf numFmtId="3" fontId="130" fillId="0" borderId="17" xfId="399" applyNumberFormat="1" applyFont="1" applyBorder="1" applyAlignment="1">
      <alignment horizontal="right"/>
    </xf>
    <xf numFmtId="10" fontId="130" fillId="0" borderId="53" xfId="464" applyNumberFormat="1" applyFont="1" applyBorder="1"/>
    <xf numFmtId="39" fontId="130" fillId="0" borderId="53" xfId="420" applyFont="1" applyBorder="1"/>
    <xf numFmtId="3" fontId="130" fillId="0" borderId="28" xfId="399" applyNumberFormat="1" applyFont="1" applyBorder="1" applyAlignment="1">
      <alignment horizontal="right"/>
    </xf>
    <xf numFmtId="3" fontId="130" fillId="0" borderId="24" xfId="399" applyNumberFormat="1" applyFont="1" applyBorder="1" applyAlignment="1">
      <alignment horizontal="right"/>
    </xf>
    <xf numFmtId="10" fontId="130" fillId="0" borderId="63" xfId="464" applyNumberFormat="1" applyFont="1" applyBorder="1"/>
    <xf numFmtId="39" fontId="129" fillId="22" borderId="48" xfId="399" applyFont="1" applyFill="1" applyBorder="1" applyAlignment="1">
      <alignment horizontal="left"/>
    </xf>
    <xf numFmtId="39" fontId="130" fillId="0" borderId="34" xfId="399" applyFont="1" applyBorder="1" applyAlignment="1">
      <alignment horizontal="left"/>
    </xf>
    <xf numFmtId="3" fontId="130" fillId="0" borderId="33" xfId="399" applyNumberFormat="1" applyFont="1" applyBorder="1"/>
    <xf numFmtId="39" fontId="130" fillId="0" borderId="35" xfId="399" applyFont="1" applyBorder="1" applyAlignment="1">
      <alignment horizontal="left"/>
    </xf>
    <xf numFmtId="39" fontId="130" fillId="0" borderId="20" xfId="399" applyFont="1" applyBorder="1" applyAlignment="1">
      <alignment horizontal="left"/>
    </xf>
    <xf numFmtId="3" fontId="130" fillId="0" borderId="53" xfId="399" applyNumberFormat="1" applyFont="1" applyBorder="1"/>
    <xf numFmtId="39" fontId="129" fillId="23" borderId="48" xfId="399" applyFont="1" applyFill="1" applyBorder="1" applyAlignment="1">
      <alignment horizontal="left"/>
    </xf>
    <xf numFmtId="3" fontId="129" fillId="23" borderId="28" xfId="399" applyNumberFormat="1" applyFont="1" applyFill="1" applyBorder="1"/>
    <xf numFmtId="39" fontId="129" fillId="6" borderId="48" xfId="399" applyFont="1" applyFill="1" applyBorder="1" applyAlignment="1">
      <alignment horizontal="left"/>
    </xf>
    <xf numFmtId="3" fontId="129" fillId="56" borderId="28" xfId="399" applyNumberFormat="1" applyFont="1" applyFill="1" applyBorder="1"/>
    <xf numFmtId="0" fontId="132" fillId="0" borderId="0" xfId="390" applyFont="1"/>
    <xf numFmtId="3" fontId="129" fillId="0" borderId="0" xfId="399" applyNumberFormat="1" applyFont="1"/>
    <xf numFmtId="3" fontId="109" fillId="0" borderId="0" xfId="390" applyNumberFormat="1"/>
    <xf numFmtId="9" fontId="132" fillId="0" borderId="0" xfId="470" applyFont="1"/>
    <xf numFmtId="10" fontId="117" fillId="37" borderId="28" xfId="467" applyNumberFormat="1" applyFont="1" applyFill="1" applyBorder="1" applyAlignment="1">
      <alignment wrapText="1"/>
    </xf>
    <xf numFmtId="10" fontId="117" fillId="42" borderId="28" xfId="467" applyNumberFormat="1" applyFont="1" applyFill="1" applyBorder="1" applyAlignment="1">
      <alignment wrapText="1"/>
    </xf>
    <xf numFmtId="38" fontId="116" fillId="0" borderId="0" xfId="335" applyNumberFormat="1" applyFont="1" applyFill="1" applyBorder="1" applyProtection="1"/>
    <xf numFmtId="38" fontId="74" fillId="54" borderId="0" xfId="335" applyNumberFormat="1" applyFont="1" applyFill="1" applyBorder="1" applyAlignment="1" applyProtection="1">
      <alignment horizontal="center" vertical="top"/>
    </xf>
    <xf numFmtId="171" fontId="75" fillId="0" borderId="28" xfId="335" applyNumberFormat="1" applyFont="1" applyFill="1" applyBorder="1" applyAlignment="1" applyProtection="1">
      <alignment horizontal="right"/>
    </xf>
    <xf numFmtId="38" fontId="75" fillId="0" borderId="28" xfId="399" applyNumberFormat="1" applyFont="1" applyBorder="1" applyAlignment="1">
      <alignment horizontal="right"/>
    </xf>
    <xf numFmtId="10" fontId="74" fillId="0" borderId="28" xfId="458" applyNumberFormat="1" applyFont="1" applyFill="1" applyBorder="1" applyAlignment="1">
      <alignment horizontal="center"/>
    </xf>
    <xf numFmtId="39" fontId="75" fillId="0" borderId="28" xfId="420" applyFont="1" applyBorder="1"/>
    <xf numFmtId="168" fontId="116" fillId="0" borderId="0" xfId="447" applyNumberFormat="1" applyFont="1" applyAlignment="1">
      <alignment horizontal="center"/>
    </xf>
    <xf numFmtId="38" fontId="75" fillId="0" borderId="28" xfId="348" applyNumberFormat="1" applyFont="1" applyFill="1" applyBorder="1" applyAlignment="1" applyProtection="1"/>
    <xf numFmtId="38" fontId="74" fillId="54" borderId="61" xfId="335" applyNumberFormat="1" applyFont="1" applyFill="1" applyBorder="1" applyAlignment="1" applyProtection="1">
      <alignment vertical="center" wrapText="1"/>
    </xf>
    <xf numFmtId="168" fontId="74" fillId="55" borderId="28" xfId="348" applyNumberFormat="1" applyFont="1" applyFill="1" applyBorder="1" applyAlignment="1" applyProtection="1">
      <alignment horizontal="center" vertical="center" wrapText="1"/>
    </xf>
    <xf numFmtId="38" fontId="74" fillId="57" borderId="28" xfId="335" applyNumberFormat="1" applyFont="1" applyFill="1" applyBorder="1" applyAlignment="1" applyProtection="1"/>
    <xf numFmtId="168" fontId="74" fillId="57" borderId="28" xfId="360" applyNumberFormat="1" applyFont="1" applyFill="1" applyBorder="1" applyAlignment="1" applyProtection="1"/>
    <xf numFmtId="168" fontId="74" fillId="0" borderId="0" xfId="420" applyNumberFormat="1" applyFont="1" applyAlignment="1">
      <alignment horizontal="center"/>
    </xf>
    <xf numFmtId="168" fontId="74" fillId="0" borderId="0" xfId="348" applyNumberFormat="1" applyFont="1" applyFill="1" applyBorder="1" applyAlignment="1" applyProtection="1">
      <alignment vertical="center" wrapText="1"/>
    </xf>
    <xf numFmtId="168" fontId="75" fillId="0" borderId="0" xfId="360" applyNumberFormat="1" applyFont="1" applyFill="1" applyBorder="1" applyAlignment="1" applyProtection="1">
      <alignment horizontal="right"/>
    </xf>
    <xf numFmtId="168" fontId="74" fillId="0" borderId="0" xfId="399" applyNumberFormat="1" applyFont="1" applyAlignment="1">
      <alignment horizontal="left"/>
    </xf>
    <xf numFmtId="168" fontId="74" fillId="0" borderId="0" xfId="420" applyNumberFormat="1" applyFont="1" applyAlignment="1">
      <alignment horizontal="right"/>
    </xf>
    <xf numFmtId="168" fontId="74" fillId="0" borderId="0" xfId="348" applyNumberFormat="1" applyFont="1" applyFill="1" applyBorder="1" applyAlignment="1" applyProtection="1">
      <alignment horizontal="center" vertical="center" wrapText="1"/>
    </xf>
    <xf numFmtId="168" fontId="74" fillId="0" borderId="0" xfId="399" applyNumberFormat="1" applyFont="1" applyAlignment="1">
      <alignment horizontal="center"/>
    </xf>
    <xf numFmtId="168" fontId="74" fillId="0" borderId="61" xfId="360" applyNumberFormat="1" applyFont="1" applyFill="1" applyBorder="1" applyAlignment="1" applyProtection="1"/>
    <xf numFmtId="168" fontId="75" fillId="0" borderId="0" xfId="420" applyNumberFormat="1" applyFont="1" applyAlignment="1">
      <alignment horizontal="right"/>
    </xf>
    <xf numFmtId="3" fontId="75" fillId="0" borderId="64" xfId="399" applyNumberFormat="1" applyFont="1" applyBorder="1"/>
    <xf numFmtId="3" fontId="133" fillId="0" borderId="64" xfId="399" applyNumberFormat="1" applyFont="1" applyBorder="1" applyAlignment="1">
      <alignment horizontal="right"/>
    </xf>
    <xf numFmtId="168" fontId="134" fillId="0" borderId="0" xfId="420" applyNumberFormat="1" applyFont="1"/>
    <xf numFmtId="38" fontId="75" fillId="36" borderId="28" xfId="335" applyNumberFormat="1" applyFont="1" applyFill="1" applyBorder="1" applyAlignment="1" applyProtection="1">
      <alignment horizontal="right"/>
    </xf>
    <xf numFmtId="168" fontId="75" fillId="36" borderId="28" xfId="360" applyNumberFormat="1" applyFont="1" applyFill="1" applyBorder="1" applyAlignment="1" applyProtection="1">
      <alignment horizontal="right"/>
    </xf>
    <xf numFmtId="168" fontId="75" fillId="36" borderId="28" xfId="447" applyNumberFormat="1" applyFont="1" applyFill="1" applyBorder="1" applyAlignment="1">
      <alignment horizontal="left"/>
    </xf>
    <xf numFmtId="168" fontId="75" fillId="36" borderId="0" xfId="360" applyNumberFormat="1" applyFont="1" applyFill="1" applyBorder="1" applyAlignment="1" applyProtection="1">
      <alignment horizontal="right"/>
    </xf>
    <xf numFmtId="168" fontId="75" fillId="36" borderId="0" xfId="420" applyNumberFormat="1" applyFont="1" applyFill="1"/>
    <xf numFmtId="168" fontId="75" fillId="36" borderId="37" xfId="420" applyNumberFormat="1" applyFont="1" applyFill="1" applyBorder="1"/>
    <xf numFmtId="168" fontId="75" fillId="36" borderId="28" xfId="420" applyNumberFormat="1" applyFont="1" applyFill="1" applyBorder="1"/>
    <xf numFmtId="168" fontId="134" fillId="36" borderId="28" xfId="360" applyNumberFormat="1" applyFont="1" applyFill="1" applyBorder="1" applyAlignment="1" applyProtection="1">
      <alignment horizontal="right"/>
    </xf>
    <xf numFmtId="38" fontId="134" fillId="0" borderId="0" xfId="335" applyNumberFormat="1" applyFont="1" applyFill="1"/>
    <xf numFmtId="39" fontId="75" fillId="36" borderId="28" xfId="420" applyFont="1" applyFill="1" applyBorder="1"/>
    <xf numFmtId="168" fontId="74" fillId="36" borderId="0" xfId="360" applyNumberFormat="1" applyFont="1" applyFill="1" applyBorder="1" applyAlignment="1" applyProtection="1"/>
    <xf numFmtId="37" fontId="75" fillId="36" borderId="28" xfId="420" applyNumberFormat="1" applyFont="1" applyFill="1" applyBorder="1"/>
    <xf numFmtId="173" fontId="75" fillId="0" borderId="28" xfId="335" applyNumberFormat="1" applyFont="1" applyFill="1" applyBorder="1" applyAlignment="1" applyProtection="1">
      <alignment horizontal="right"/>
    </xf>
    <xf numFmtId="171" fontId="75" fillId="0" borderId="28" xfId="360" applyNumberFormat="1" applyFont="1" applyFill="1" applyBorder="1" applyAlignment="1" applyProtection="1">
      <alignment horizontal="right"/>
    </xf>
    <xf numFmtId="173" fontId="75" fillId="0" borderId="28" xfId="360" applyNumberFormat="1" applyFont="1" applyFill="1" applyBorder="1" applyAlignment="1" applyProtection="1">
      <alignment horizontal="right"/>
    </xf>
    <xf numFmtId="168" fontId="74" fillId="36" borderId="0" xfId="420" applyNumberFormat="1" applyFont="1" applyFill="1" applyAlignment="1">
      <alignment horizontal="center"/>
    </xf>
    <xf numFmtId="168" fontId="133" fillId="0" borderId="64" xfId="399" applyNumberFormat="1" applyFont="1" applyBorder="1" applyAlignment="1">
      <alignment horizontal="right"/>
    </xf>
    <xf numFmtId="168" fontId="74" fillId="54" borderId="28" xfId="420" applyNumberFormat="1" applyFont="1" applyFill="1" applyBorder="1"/>
    <xf numFmtId="168" fontId="74" fillId="36" borderId="28" xfId="420" applyNumberFormat="1" applyFont="1" applyFill="1" applyBorder="1"/>
    <xf numFmtId="38" fontId="74" fillId="54" borderId="28" xfId="335" applyNumberFormat="1" applyFont="1" applyFill="1" applyBorder="1" applyAlignment="1" applyProtection="1"/>
    <xf numFmtId="38" fontId="75" fillId="54" borderId="28" xfId="335" applyNumberFormat="1" applyFont="1" applyFill="1" applyBorder="1"/>
    <xf numFmtId="168" fontId="74" fillId="58" borderId="65" xfId="348" applyNumberFormat="1" applyFont="1" applyFill="1" applyBorder="1" applyAlignment="1" applyProtection="1">
      <alignment vertical="center" wrapText="1"/>
    </xf>
    <xf numFmtId="168" fontId="74" fillId="58" borderId="66" xfId="348" applyNumberFormat="1" applyFont="1" applyFill="1" applyBorder="1" applyAlignment="1" applyProtection="1">
      <alignment horizontal="center" vertical="center" wrapText="1"/>
    </xf>
    <xf numFmtId="168" fontId="74" fillId="0" borderId="67" xfId="348" applyNumberFormat="1" applyFont="1" applyFill="1" applyBorder="1" applyAlignment="1" applyProtection="1">
      <alignment vertical="center" wrapText="1"/>
    </xf>
    <xf numFmtId="168" fontId="74" fillId="0" borderId="67" xfId="420" applyNumberFormat="1" applyFont="1" applyBorder="1"/>
    <xf numFmtId="168" fontId="74" fillId="0" borderId="68" xfId="348" applyNumberFormat="1" applyFont="1" applyFill="1" applyBorder="1" applyAlignment="1" applyProtection="1">
      <alignment vertical="center" wrapText="1"/>
    </xf>
    <xf numFmtId="168" fontId="75" fillId="0" borderId="69" xfId="360" applyNumberFormat="1" applyFont="1" applyFill="1" applyBorder="1" applyAlignment="1" applyProtection="1">
      <alignment horizontal="center"/>
    </xf>
    <xf numFmtId="3" fontId="75" fillId="0" borderId="32" xfId="399" applyNumberFormat="1" applyFont="1" applyBorder="1"/>
    <xf numFmtId="3" fontId="75" fillId="0" borderId="28" xfId="399" applyNumberFormat="1" applyFont="1" applyBorder="1"/>
    <xf numFmtId="0" fontId="75" fillId="0" borderId="48" xfId="335" applyNumberFormat="1" applyFont="1" applyFill="1" applyBorder="1" applyAlignment="1">
      <alignment horizontal="right"/>
    </xf>
    <xf numFmtId="38" fontId="75" fillId="0" borderId="37" xfId="335" applyNumberFormat="1" applyFont="1" applyFill="1" applyBorder="1"/>
    <xf numFmtId="0" fontId="75" fillId="0" borderId="28" xfId="335" applyNumberFormat="1" applyFont="1" applyFill="1" applyBorder="1" applyAlignment="1">
      <alignment horizontal="left"/>
    </xf>
    <xf numFmtId="167" fontId="77" fillId="0" borderId="28" xfId="458" applyNumberFormat="1" applyFont="1" applyFill="1" applyBorder="1" applyAlignment="1">
      <alignment horizontal="center"/>
    </xf>
    <xf numFmtId="9" fontId="73" fillId="53" borderId="28" xfId="458" applyFont="1" applyFill="1" applyBorder="1" applyAlignment="1" applyProtection="1"/>
    <xf numFmtId="38" fontId="73" fillId="55" borderId="28" xfId="335" applyNumberFormat="1" applyFont="1" applyFill="1" applyBorder="1" applyAlignment="1" applyProtection="1"/>
    <xf numFmtId="38" fontId="73" fillId="54" borderId="61" xfId="335" applyNumberFormat="1" applyFont="1" applyFill="1" applyBorder="1" applyAlignment="1" applyProtection="1">
      <alignment vertical="center" wrapText="1"/>
    </xf>
    <xf numFmtId="9" fontId="73" fillId="60" borderId="28" xfId="458" applyFont="1" applyFill="1" applyBorder="1" applyAlignment="1">
      <alignment horizontal="center"/>
    </xf>
    <xf numFmtId="38" fontId="73" fillId="61" borderId="28" xfId="335" applyNumberFormat="1" applyFont="1" applyFill="1" applyBorder="1" applyAlignment="1" applyProtection="1"/>
    <xf numFmtId="38" fontId="73" fillId="54" borderId="0" xfId="335" applyNumberFormat="1" applyFont="1" applyFill="1" applyBorder="1" applyAlignment="1" applyProtection="1"/>
    <xf numFmtId="38" fontId="73" fillId="55" borderId="28" xfId="335" applyNumberFormat="1" applyFont="1" applyFill="1" applyBorder="1" applyAlignment="1">
      <alignment horizontal="left"/>
    </xf>
    <xf numFmtId="9" fontId="74" fillId="45" borderId="28" xfId="458" applyFont="1" applyFill="1" applyBorder="1" applyAlignment="1" applyProtection="1"/>
    <xf numFmtId="38" fontId="74" fillId="45" borderId="28" xfId="335" applyNumberFormat="1" applyFont="1" applyFill="1" applyBorder="1" applyAlignment="1" applyProtection="1"/>
    <xf numFmtId="9" fontId="74" fillId="45" borderId="28" xfId="458" applyFont="1" applyFill="1" applyBorder="1" applyAlignment="1">
      <alignment horizontal="center"/>
    </xf>
    <xf numFmtId="9" fontId="74" fillId="59" borderId="28" xfId="458" applyFont="1" applyFill="1" applyBorder="1" applyAlignment="1" applyProtection="1"/>
    <xf numFmtId="38" fontId="74" fillId="59" borderId="28" xfId="335" applyNumberFormat="1" applyFont="1" applyFill="1" applyBorder="1" applyAlignment="1" applyProtection="1"/>
    <xf numFmtId="9" fontId="74" fillId="59" borderId="28" xfId="458" applyFont="1" applyFill="1" applyBorder="1" applyAlignment="1">
      <alignment horizontal="center"/>
    </xf>
    <xf numFmtId="10" fontId="74" fillId="0" borderId="28" xfId="458" applyNumberFormat="1" applyFont="1" applyFill="1" applyBorder="1" applyAlignment="1" applyProtection="1"/>
    <xf numFmtId="167" fontId="74" fillId="59" borderId="28" xfId="458" applyNumberFormat="1" applyFont="1" applyFill="1" applyBorder="1" applyAlignment="1" applyProtection="1"/>
    <xf numFmtId="167" fontId="74" fillId="59" borderId="28" xfId="458" applyNumberFormat="1" applyFont="1" applyFill="1" applyBorder="1" applyAlignment="1">
      <alignment horizontal="center"/>
    </xf>
    <xf numFmtId="10" fontId="75" fillId="0" borderId="28" xfId="458" applyNumberFormat="1" applyFont="1" applyFill="1" applyBorder="1" applyAlignment="1" applyProtection="1"/>
    <xf numFmtId="38" fontId="135" fillId="0" borderId="28" xfId="335" applyNumberFormat="1" applyFont="1" applyFill="1" applyBorder="1" applyAlignment="1" applyProtection="1">
      <alignment horizontal="center" vertical="center" wrapText="1"/>
    </xf>
    <xf numFmtId="0" fontId="135" fillId="0" borderId="28" xfId="335" applyNumberFormat="1" applyFont="1" applyFill="1" applyBorder="1" applyAlignment="1" applyProtection="1">
      <alignment horizontal="center"/>
    </xf>
    <xf numFmtId="38" fontId="135" fillId="0" borderId="0" xfId="335" applyNumberFormat="1" applyFont="1" applyFill="1" applyBorder="1" applyAlignment="1" applyProtection="1">
      <alignment vertical="center" wrapText="1"/>
    </xf>
    <xf numFmtId="38" fontId="135" fillId="0" borderId="0" xfId="335" applyNumberFormat="1" applyFont="1" applyFill="1" applyBorder="1" applyAlignment="1" applyProtection="1"/>
    <xf numFmtId="38" fontId="135" fillId="0" borderId="33" xfId="335" applyNumberFormat="1" applyFont="1" applyFill="1" applyBorder="1" applyAlignment="1" applyProtection="1">
      <alignment vertical="center"/>
    </xf>
    <xf numFmtId="38" fontId="74" fillId="0" borderId="28" xfId="335" applyNumberFormat="1" applyFont="1" applyFill="1" applyBorder="1" applyAlignment="1" applyProtection="1">
      <alignment vertical="center" wrapText="1"/>
    </xf>
    <xf numFmtId="38" fontId="74" fillId="0" borderId="53" xfId="335" applyNumberFormat="1" applyFont="1" applyFill="1" applyBorder="1" applyAlignment="1" applyProtection="1">
      <alignment vertical="center" wrapText="1"/>
    </xf>
    <xf numFmtId="9" fontId="30" fillId="0" borderId="0" xfId="458" applyFill="1" applyBorder="1" applyAlignment="1" applyProtection="1"/>
    <xf numFmtId="9" fontId="73" fillId="53" borderId="28" xfId="458" applyFont="1" applyFill="1" applyBorder="1" applyAlignment="1">
      <alignment horizontal="center"/>
    </xf>
    <xf numFmtId="168" fontId="75" fillId="0" borderId="28" xfId="335" applyNumberFormat="1" applyFont="1" applyFill="1" applyBorder="1" applyAlignment="1" applyProtection="1"/>
    <xf numFmtId="168" fontId="116" fillId="0" borderId="63" xfId="447" applyNumberFormat="1" applyFont="1" applyBorder="1"/>
    <xf numFmtId="168" fontId="75" fillId="0" borderId="28" xfId="335" applyNumberFormat="1" applyFont="1" applyFill="1" applyBorder="1" applyAlignment="1" applyProtection="1">
      <alignment horizontal="right"/>
    </xf>
    <xf numFmtId="168" fontId="116" fillId="0" borderId="70" xfId="447" applyNumberFormat="1" applyFont="1" applyBorder="1"/>
    <xf numFmtId="38" fontId="74" fillId="36" borderId="28" xfId="335" applyNumberFormat="1" applyFont="1" applyFill="1" applyBorder="1" applyAlignment="1" applyProtection="1">
      <alignment horizontal="right"/>
    </xf>
    <xf numFmtId="168" fontId="75" fillId="0" borderId="0" xfId="447" applyNumberFormat="1" applyFont="1" applyAlignment="1">
      <alignment horizontal="left"/>
    </xf>
    <xf numFmtId="168" fontId="116" fillId="0" borderId="53" xfId="447" applyNumberFormat="1" applyFont="1" applyBorder="1"/>
    <xf numFmtId="168" fontId="75" fillId="0" borderId="28" xfId="335" applyNumberFormat="1" applyFont="1" applyFill="1" applyBorder="1" applyProtection="1"/>
    <xf numFmtId="10" fontId="30" fillId="0" borderId="0" xfId="458" applyNumberFormat="1" applyFill="1"/>
    <xf numFmtId="167" fontId="30" fillId="0" borderId="0" xfId="458" applyNumberFormat="1" applyFill="1"/>
    <xf numFmtId="168" fontId="75" fillId="0" borderId="28" xfId="399" applyNumberFormat="1" applyFont="1" applyBorder="1" applyAlignment="1">
      <alignment horizontal="right"/>
    </xf>
    <xf numFmtId="171" fontId="74" fillId="36" borderId="28" xfId="335" applyNumberFormat="1" applyFont="1" applyFill="1" applyBorder="1" applyAlignment="1" applyProtection="1">
      <alignment horizontal="right"/>
    </xf>
    <xf numFmtId="171" fontId="75" fillId="0" borderId="0" xfId="335" applyNumberFormat="1" applyFont="1" applyFill="1"/>
    <xf numFmtId="171" fontId="75" fillId="54" borderId="0" xfId="335" applyNumberFormat="1" applyFont="1" applyFill="1" applyBorder="1" applyAlignment="1" applyProtection="1">
      <alignment horizontal="center"/>
    </xf>
    <xf numFmtId="39" fontId="54" fillId="0" borderId="71" xfId="0" applyFont="1" applyBorder="1" applyAlignment="1">
      <alignment wrapText="1"/>
    </xf>
    <xf numFmtId="3" fontId="133" fillId="0" borderId="28" xfId="399" applyNumberFormat="1" applyFont="1" applyBorder="1" applyAlignment="1">
      <alignment horizontal="right"/>
    </xf>
    <xf numFmtId="38" fontId="75" fillId="47" borderId="0" xfId="335" applyNumberFormat="1" applyFont="1" applyFill="1"/>
    <xf numFmtId="167" fontId="0" fillId="0" borderId="28" xfId="0" applyNumberFormat="1" applyBorder="1"/>
    <xf numFmtId="9" fontId="0" fillId="0" borderId="28" xfId="0" applyNumberFormat="1" applyBorder="1"/>
    <xf numFmtId="38" fontId="29" fillId="0" borderId="28" xfId="0" applyNumberFormat="1" applyFont="1" applyBorder="1"/>
    <xf numFmtId="9" fontId="29" fillId="0" borderId="28" xfId="0" applyNumberFormat="1" applyFont="1" applyBorder="1"/>
    <xf numFmtId="10" fontId="29" fillId="0" borderId="28" xfId="0" applyNumberFormat="1" applyFont="1" applyBorder="1"/>
    <xf numFmtId="39" fontId="29" fillId="0" borderId="28" xfId="0" applyFont="1" applyBorder="1"/>
    <xf numFmtId="0" fontId="136" fillId="35" borderId="28" xfId="0" applyNumberFormat="1" applyFont="1" applyFill="1" applyBorder="1" applyAlignment="1">
      <alignment horizontal="center"/>
    </xf>
    <xf numFmtId="17" fontId="137" fillId="35" borderId="28" xfId="0" applyNumberFormat="1" applyFont="1" applyFill="1" applyBorder="1" applyAlignment="1">
      <alignment horizontal="center"/>
    </xf>
    <xf numFmtId="17" fontId="138" fillId="41" borderId="28" xfId="0" applyNumberFormat="1" applyFont="1" applyFill="1" applyBorder="1" applyAlignment="1">
      <alignment horizontal="center"/>
    </xf>
    <xf numFmtId="0" fontId="137" fillId="35" borderId="28" xfId="0" applyNumberFormat="1" applyFont="1" applyFill="1" applyBorder="1" applyAlignment="1">
      <alignment horizontal="center"/>
    </xf>
    <xf numFmtId="0" fontId="137" fillId="35" borderId="28" xfId="0" applyNumberFormat="1" applyFont="1" applyFill="1" applyBorder="1" applyAlignment="1">
      <alignment horizontal="center" wrapText="1"/>
    </xf>
    <xf numFmtId="0" fontId="136" fillId="35" borderId="28" xfId="0" applyNumberFormat="1" applyFont="1" applyFill="1" applyBorder="1" applyAlignment="1">
      <alignment horizontal="center" wrapText="1"/>
    </xf>
    <xf numFmtId="10" fontId="92" fillId="0" borderId="28" xfId="0" applyNumberFormat="1" applyFont="1" applyBorder="1" applyAlignment="1">
      <alignment horizontal="center" vertical="center"/>
    </xf>
    <xf numFmtId="10" fontId="139" fillId="0" borderId="28" xfId="458" applyNumberFormat="1" applyFont="1" applyFill="1" applyBorder="1" applyAlignment="1">
      <alignment horizontal="center" vertical="center" wrapText="1"/>
    </xf>
    <xf numFmtId="10" fontId="92" fillId="34" borderId="28" xfId="0" applyNumberFormat="1" applyFont="1" applyFill="1" applyBorder="1" applyAlignment="1">
      <alignment horizontal="center" vertical="center"/>
    </xf>
    <xf numFmtId="10" fontId="92" fillId="37" borderId="28" xfId="0" applyNumberFormat="1" applyFont="1" applyFill="1" applyBorder="1" applyAlignment="1">
      <alignment horizontal="center" vertical="center"/>
    </xf>
    <xf numFmtId="10" fontId="140" fillId="34" borderId="28" xfId="0" applyNumberFormat="1" applyFont="1" applyFill="1" applyBorder="1" applyAlignment="1">
      <alignment horizontal="center" vertical="center"/>
    </xf>
    <xf numFmtId="167" fontId="92" fillId="30" borderId="28" xfId="0" applyNumberFormat="1" applyFont="1" applyFill="1" applyBorder="1" applyAlignment="1">
      <alignment horizontal="center" vertical="center"/>
    </xf>
    <xf numFmtId="167" fontId="92" fillId="42" borderId="28" xfId="0" applyNumberFormat="1" applyFont="1" applyFill="1" applyBorder="1" applyAlignment="1">
      <alignment horizontal="center" vertical="center"/>
    </xf>
    <xf numFmtId="10" fontId="92" fillId="30" borderId="28" xfId="0" applyNumberFormat="1" applyFont="1" applyFill="1" applyBorder="1" applyAlignment="1">
      <alignment horizontal="center" vertical="center"/>
    </xf>
    <xf numFmtId="10" fontId="91" fillId="34" borderId="28" xfId="0" applyNumberFormat="1" applyFont="1" applyFill="1" applyBorder="1" applyAlignment="1">
      <alignment horizontal="center" vertical="center"/>
    </xf>
    <xf numFmtId="10" fontId="91" fillId="37" borderId="28" xfId="0" applyNumberFormat="1" applyFont="1" applyFill="1" applyBorder="1" applyAlignment="1">
      <alignment horizontal="center" vertical="center"/>
    </xf>
    <xf numFmtId="10" fontId="91" fillId="30" borderId="28" xfId="0" applyNumberFormat="1" applyFont="1" applyFill="1" applyBorder="1" applyAlignment="1">
      <alignment horizontal="center" vertical="center"/>
    </xf>
    <xf numFmtId="10" fontId="91" fillId="31" borderId="28" xfId="0" applyNumberFormat="1" applyFont="1" applyFill="1" applyBorder="1" applyAlignment="1">
      <alignment horizontal="center" vertical="center"/>
    </xf>
    <xf numFmtId="39" fontId="93" fillId="29" borderId="0" xfId="0" applyFont="1" applyFill="1" applyAlignment="1">
      <alignment horizontal="center" vertical="center"/>
    </xf>
    <xf numFmtId="9" fontId="91" fillId="42" borderId="28" xfId="0" applyNumberFormat="1" applyFont="1" applyFill="1" applyBorder="1" applyAlignment="1">
      <alignment horizontal="center" vertical="center"/>
    </xf>
    <xf numFmtId="9" fontId="91" fillId="36" borderId="28" xfId="0" applyNumberFormat="1" applyFont="1" applyFill="1" applyBorder="1" applyAlignment="1">
      <alignment horizontal="center" vertical="center"/>
    </xf>
    <xf numFmtId="39" fontId="91" fillId="34" borderId="28" xfId="0" applyFont="1" applyFill="1" applyBorder="1" applyAlignment="1">
      <alignment horizontal="center" vertical="center"/>
    </xf>
    <xf numFmtId="39" fontId="91" fillId="37" borderId="28" xfId="0" applyFont="1" applyFill="1" applyBorder="1" applyAlignment="1">
      <alignment horizontal="center" vertical="center"/>
    </xf>
    <xf numFmtId="39" fontId="137" fillId="34" borderId="28" xfId="0" applyFont="1" applyFill="1" applyBorder="1" applyAlignment="1">
      <alignment horizontal="center" vertical="center"/>
    </xf>
    <xf numFmtId="39" fontId="138" fillId="37" borderId="28" xfId="0" applyFont="1" applyFill="1" applyBorder="1" applyAlignment="1">
      <alignment horizontal="center" vertical="center"/>
    </xf>
    <xf numFmtId="0" fontId="94" fillId="0" borderId="49" xfId="383" applyFont="1" applyBorder="1" applyProtection="1">
      <protection hidden="1"/>
    </xf>
    <xf numFmtId="0" fontId="94" fillId="0" borderId="0" xfId="383" applyFont="1" applyAlignment="1" applyProtection="1">
      <alignment horizontal="center"/>
      <protection hidden="1"/>
    </xf>
    <xf numFmtId="0" fontId="141" fillId="19" borderId="28" xfId="0" applyNumberFormat="1" applyFont="1" applyFill="1" applyBorder="1" applyAlignment="1">
      <alignment horizontal="center" vertical="center" wrapText="1"/>
    </xf>
    <xf numFmtId="0" fontId="91" fillId="27" borderId="28" xfId="0" applyNumberFormat="1" applyFont="1" applyFill="1" applyBorder="1" applyAlignment="1">
      <alignment horizontal="center" vertical="center" wrapText="1"/>
    </xf>
    <xf numFmtId="0" fontId="96" fillId="34" borderId="28" xfId="0" applyNumberFormat="1" applyFont="1" applyFill="1" applyBorder="1" applyAlignment="1">
      <alignment horizontal="center" vertical="center" wrapText="1"/>
    </xf>
    <xf numFmtId="0" fontId="55" fillId="35" borderId="28" xfId="383" applyFont="1" applyFill="1" applyBorder="1" applyAlignment="1" applyProtection="1">
      <alignment horizontal="center" vertical="center"/>
      <protection hidden="1"/>
    </xf>
    <xf numFmtId="0" fontId="55" fillId="35" borderId="28" xfId="383" applyFont="1" applyFill="1" applyBorder="1" applyAlignment="1" applyProtection="1">
      <alignment horizontal="center" vertical="center" wrapText="1"/>
      <protection hidden="1"/>
    </xf>
    <xf numFmtId="0" fontId="142" fillId="45" borderId="0" xfId="390" applyFont="1" applyFill="1"/>
    <xf numFmtId="0" fontId="142" fillId="62" borderId="28" xfId="390" applyFont="1" applyFill="1" applyBorder="1"/>
    <xf numFmtId="9" fontId="143" fillId="47" borderId="12" xfId="390" applyNumberFormat="1" applyFont="1" applyFill="1" applyBorder="1" applyAlignment="1">
      <alignment horizontal="center"/>
    </xf>
    <xf numFmtId="9" fontId="143" fillId="47" borderId="39" xfId="390" applyNumberFormat="1" applyFont="1" applyFill="1" applyBorder="1" applyAlignment="1">
      <alignment horizontal="center"/>
    </xf>
    <xf numFmtId="167" fontId="137" fillId="34" borderId="28" xfId="458" applyNumberFormat="1" applyFont="1" applyFill="1" applyBorder="1" applyAlignment="1">
      <alignment horizontal="center" vertical="center" wrapText="1"/>
    </xf>
    <xf numFmtId="167" fontId="138" fillId="37" borderId="28" xfId="458" applyNumberFormat="1" applyFont="1" applyFill="1" applyBorder="1" applyAlignment="1">
      <alignment horizontal="center" vertical="center" wrapText="1"/>
    </xf>
    <xf numFmtId="167" fontId="144" fillId="63" borderId="28" xfId="458" applyNumberFormat="1" applyFont="1" applyFill="1" applyBorder="1" applyAlignment="1">
      <alignment horizontal="center" vertical="center" wrapText="1"/>
    </xf>
    <xf numFmtId="167" fontId="137" fillId="31" borderId="28" xfId="458" applyNumberFormat="1" applyFont="1" applyFill="1" applyBorder="1" applyAlignment="1">
      <alignment horizontal="center" vertical="center" wrapText="1"/>
    </xf>
    <xf numFmtId="167" fontId="141" fillId="31" borderId="28" xfId="458" applyNumberFormat="1" applyFont="1" applyFill="1" applyBorder="1" applyAlignment="1">
      <alignment horizontal="center" vertical="center" wrapText="1"/>
    </xf>
    <xf numFmtId="167" fontId="91" fillId="42" borderId="28" xfId="458" applyNumberFormat="1" applyFont="1" applyFill="1" applyBorder="1" applyAlignment="1">
      <alignment horizontal="center" vertical="center" wrapText="1"/>
    </xf>
    <xf numFmtId="167" fontId="137" fillId="36" borderId="28" xfId="458" applyNumberFormat="1" applyFont="1" applyFill="1" applyBorder="1" applyAlignment="1">
      <alignment horizontal="center" vertical="center" wrapText="1"/>
    </xf>
    <xf numFmtId="167" fontId="138" fillId="42" borderId="28" xfId="458" applyNumberFormat="1" applyFont="1" applyFill="1" applyBorder="1" applyAlignment="1">
      <alignment horizontal="center" vertical="center" wrapText="1"/>
    </xf>
    <xf numFmtId="167" fontId="91" fillId="34" borderId="28" xfId="0" applyNumberFormat="1" applyFont="1" applyFill="1" applyBorder="1" applyAlignment="1">
      <alignment horizontal="center" vertical="center"/>
    </xf>
    <xf numFmtId="167" fontId="91" fillId="37" borderId="28" xfId="0" applyNumberFormat="1" applyFont="1" applyFill="1" applyBorder="1" applyAlignment="1">
      <alignment horizontal="center" vertical="center"/>
    </xf>
    <xf numFmtId="167" fontId="91" fillId="30" borderId="28" xfId="0" applyNumberFormat="1" applyFont="1" applyFill="1" applyBorder="1" applyAlignment="1">
      <alignment horizontal="center" vertical="center"/>
    </xf>
    <xf numFmtId="167" fontId="93" fillId="29" borderId="0" xfId="0" applyNumberFormat="1" applyFont="1" applyFill="1" applyAlignment="1">
      <alignment horizontal="center" vertical="center"/>
    </xf>
    <xf numFmtId="167" fontId="137" fillId="30" borderId="28" xfId="458" applyNumberFormat="1" applyFont="1" applyFill="1" applyBorder="1" applyAlignment="1">
      <alignment horizontal="center" vertical="center" wrapText="1"/>
    </xf>
    <xf numFmtId="38" fontId="145" fillId="0" borderId="0" xfId="335" applyNumberFormat="1" applyFont="1" applyFill="1"/>
    <xf numFmtId="38" fontId="145" fillId="0" borderId="0" xfId="335" applyNumberFormat="1" applyFont="1" applyFill="1" applyBorder="1"/>
    <xf numFmtId="38" fontId="134" fillId="0" borderId="49" xfId="335" applyNumberFormat="1" applyFont="1" applyFill="1" applyBorder="1" applyAlignment="1">
      <alignment horizontal="center"/>
    </xf>
    <xf numFmtId="38" fontId="135" fillId="54" borderId="0" xfId="335" applyNumberFormat="1" applyFont="1" applyFill="1" applyBorder="1" applyAlignment="1">
      <alignment horizontal="center"/>
    </xf>
    <xf numFmtId="0" fontId="146" fillId="0" borderId="0" xfId="0" applyNumberFormat="1" applyFont="1"/>
    <xf numFmtId="38" fontId="30" fillId="0" borderId="0" xfId="335" applyNumberFormat="1" applyFill="1"/>
    <xf numFmtId="0" fontId="75" fillId="54" borderId="0" xfId="335" applyNumberFormat="1" applyFont="1" applyFill="1" applyBorder="1" applyAlignment="1" applyProtection="1">
      <alignment horizontal="center"/>
    </xf>
    <xf numFmtId="172" fontId="147" fillId="0" borderId="0" xfId="359" applyNumberFormat="1" applyFont="1"/>
    <xf numFmtId="39" fontId="148" fillId="0" borderId="0" xfId="0" applyFont="1"/>
    <xf numFmtId="39" fontId="149" fillId="0" borderId="0" xfId="0" applyFont="1"/>
    <xf numFmtId="9" fontId="148" fillId="0" borderId="0" xfId="0" applyNumberFormat="1" applyFont="1"/>
    <xf numFmtId="174" fontId="149" fillId="0" borderId="0" xfId="335" applyNumberFormat="1" applyFont="1" applyFill="1" applyBorder="1" applyAlignment="1" applyProtection="1"/>
    <xf numFmtId="9" fontId="149" fillId="0" borderId="0" xfId="458" applyFont="1" applyFill="1" applyBorder="1" applyAlignment="1" applyProtection="1"/>
    <xf numFmtId="39" fontId="150" fillId="0" borderId="0" xfId="0" applyFont="1"/>
    <xf numFmtId="174" fontId="150" fillId="0" borderId="0" xfId="335" applyNumberFormat="1" applyFont="1" applyFill="1" applyBorder="1" applyAlignment="1" applyProtection="1"/>
    <xf numFmtId="174" fontId="150" fillId="0" borderId="0" xfId="335" applyNumberFormat="1" applyFont="1" applyFill="1" applyBorder="1" applyAlignment="1" applyProtection="1">
      <alignment vertical="top"/>
    </xf>
    <xf numFmtId="37" fontId="150" fillId="0" borderId="0" xfId="335" applyNumberFormat="1" applyFont="1" applyFill="1" applyBorder="1" applyAlignment="1" applyProtection="1">
      <alignment horizontal="left"/>
    </xf>
    <xf numFmtId="174" fontId="150" fillId="0" borderId="0" xfId="335" applyNumberFormat="1" applyFont="1" applyFill="1" applyBorder="1" applyAlignment="1" applyProtection="1">
      <alignment horizontal="left"/>
    </xf>
    <xf numFmtId="39" fontId="153" fillId="0" borderId="0" xfId="0" applyFont="1"/>
    <xf numFmtId="49" fontId="154" fillId="0" borderId="0" xfId="0" applyNumberFormat="1" applyFont="1" applyAlignment="1">
      <alignment horizontal="center"/>
    </xf>
    <xf numFmtId="49" fontId="153" fillId="0" borderId="0" xfId="0" applyNumberFormat="1" applyFont="1" applyAlignment="1">
      <alignment horizontal="center"/>
    </xf>
    <xf numFmtId="3" fontId="153" fillId="0" borderId="0" xfId="0" applyNumberFormat="1" applyFont="1"/>
    <xf numFmtId="3" fontId="154" fillId="0" borderId="0" xfId="0" applyNumberFormat="1" applyFont="1"/>
    <xf numFmtId="49" fontId="154" fillId="0" borderId="0" xfId="0" applyNumberFormat="1" applyFont="1"/>
    <xf numFmtId="174" fontId="154" fillId="0" borderId="0" xfId="335" applyNumberFormat="1" applyFont="1" applyFill="1" applyBorder="1" applyAlignment="1" applyProtection="1"/>
    <xf numFmtId="39" fontId="153" fillId="0" borderId="0" xfId="0" applyFont="1" applyAlignment="1">
      <alignment horizontal="right"/>
    </xf>
    <xf numFmtId="39" fontId="153" fillId="0" borderId="0" xfId="0" applyFont="1" applyAlignment="1">
      <alignment horizontal="left"/>
    </xf>
    <xf numFmtId="39" fontId="154" fillId="0" borderId="0" xfId="0" applyFont="1"/>
    <xf numFmtId="39" fontId="152" fillId="0" borderId="0" xfId="0" applyFont="1"/>
    <xf numFmtId="49" fontId="152" fillId="0" borderId="0" xfId="0" applyNumberFormat="1" applyFont="1"/>
    <xf numFmtId="3" fontId="152" fillId="0" borderId="0" xfId="0" applyNumberFormat="1" applyFont="1"/>
    <xf numFmtId="39" fontId="151" fillId="0" borderId="0" xfId="0" applyFont="1"/>
    <xf numFmtId="37" fontId="151" fillId="0" borderId="0" xfId="0" applyNumberFormat="1" applyFont="1"/>
    <xf numFmtId="9" fontId="151" fillId="0" borderId="0" xfId="458" applyFont="1" applyFill="1" applyBorder="1" applyAlignment="1" applyProtection="1"/>
    <xf numFmtId="39" fontId="116" fillId="0" borderId="23" xfId="0" applyFont="1" applyBorder="1"/>
    <xf numFmtId="3" fontId="116" fillId="0" borderId="24" xfId="0" applyNumberFormat="1" applyFont="1" applyBorder="1"/>
    <xf numFmtId="37" fontId="116" fillId="0" borderId="24" xfId="0" applyNumberFormat="1" applyFont="1" applyBorder="1"/>
    <xf numFmtId="37" fontId="116" fillId="0" borderId="32" xfId="0" applyNumberFormat="1" applyFont="1" applyBorder="1"/>
    <xf numFmtId="9" fontId="116" fillId="0" borderId="80" xfId="458" applyFont="1" applyFill="1" applyBorder="1" applyAlignment="1" applyProtection="1"/>
    <xf numFmtId="39" fontId="116" fillId="0" borderId="20" xfId="0" applyFont="1" applyBorder="1"/>
    <xf numFmtId="39" fontId="116" fillId="0" borderId="24" xfId="0" applyFont="1" applyBorder="1"/>
    <xf numFmtId="9" fontId="116" fillId="0" borderId="81" xfId="458" applyFont="1" applyFill="1" applyBorder="1" applyAlignment="1" applyProtection="1"/>
    <xf numFmtId="39" fontId="115" fillId="66" borderId="15" xfId="0" applyFont="1" applyFill="1" applyBorder="1"/>
    <xf numFmtId="37" fontId="115" fillId="66" borderId="14" xfId="0" applyNumberFormat="1" applyFont="1" applyFill="1" applyBorder="1"/>
    <xf numFmtId="10" fontId="115" fillId="66" borderId="82" xfId="0" applyNumberFormat="1" applyFont="1" applyFill="1" applyBorder="1"/>
    <xf numFmtId="39" fontId="116" fillId="0" borderId="17" xfId="0" applyFont="1" applyBorder="1"/>
    <xf numFmtId="37" fontId="116" fillId="0" borderId="17" xfId="0" applyNumberFormat="1" applyFont="1" applyBorder="1"/>
    <xf numFmtId="9" fontId="116" fillId="0" borderId="83" xfId="458" applyFont="1" applyFill="1" applyBorder="1" applyAlignment="1" applyProtection="1"/>
    <xf numFmtId="37" fontId="116" fillId="0" borderId="31" xfId="0" applyNumberFormat="1" applyFont="1" applyBorder="1"/>
    <xf numFmtId="9" fontId="116" fillId="0" borderId="82" xfId="458" applyFont="1" applyFill="1" applyBorder="1" applyAlignment="1" applyProtection="1"/>
    <xf numFmtId="39" fontId="116" fillId="0" borderId="84" xfId="0" applyFont="1" applyBorder="1"/>
    <xf numFmtId="37" fontId="116" fillId="0" borderId="0" xfId="0" applyNumberFormat="1" applyFont="1"/>
    <xf numFmtId="9" fontId="116" fillId="0" borderId="85" xfId="458" applyFont="1" applyFill="1" applyBorder="1" applyAlignment="1" applyProtection="1"/>
    <xf numFmtId="3" fontId="116" fillId="0" borderId="63" xfId="0" applyNumberFormat="1" applyFont="1" applyBorder="1"/>
    <xf numFmtId="37" fontId="116" fillId="0" borderId="63" xfId="0" applyNumberFormat="1" applyFont="1" applyBorder="1"/>
    <xf numFmtId="37" fontId="116" fillId="0" borderId="86" xfId="0" applyNumberFormat="1" applyFont="1" applyBorder="1"/>
    <xf numFmtId="37" fontId="116" fillId="0" borderId="87" xfId="0" applyNumberFormat="1" applyFont="1" applyBorder="1"/>
    <xf numFmtId="39" fontId="115" fillId="0" borderId="88" xfId="0" applyFont="1" applyBorder="1"/>
    <xf numFmtId="3" fontId="115" fillId="0" borderId="78" xfId="0" applyNumberFormat="1" applyFont="1" applyBorder="1"/>
    <xf numFmtId="37" fontId="115" fillId="0" borderId="40" xfId="0" applyNumberFormat="1" applyFont="1" applyBorder="1"/>
    <xf numFmtId="37" fontId="115" fillId="0" borderId="24" xfId="0" applyNumberFormat="1" applyFont="1" applyBorder="1"/>
    <xf numFmtId="9" fontId="115" fillId="0" borderId="85" xfId="458" applyFont="1" applyFill="1" applyBorder="1" applyAlignment="1" applyProtection="1"/>
    <xf numFmtId="10" fontId="115" fillId="66" borderId="79" xfId="0" applyNumberFormat="1" applyFont="1" applyFill="1" applyBorder="1"/>
    <xf numFmtId="39" fontId="116" fillId="0" borderId="16" xfId="0" applyFont="1" applyBorder="1"/>
    <xf numFmtId="37" fontId="116" fillId="0" borderId="33" xfId="0" applyNumberFormat="1" applyFont="1" applyBorder="1"/>
    <xf numFmtId="37" fontId="115" fillId="0" borderId="63" xfId="335" applyNumberFormat="1" applyFont="1" applyFill="1" applyBorder="1" applyAlignment="1" applyProtection="1"/>
    <xf numFmtId="37" fontId="115" fillId="0" borderId="38" xfId="335" applyNumberFormat="1" applyFont="1" applyFill="1" applyBorder="1" applyAlignment="1" applyProtection="1"/>
    <xf numFmtId="37" fontId="115" fillId="0" borderId="32" xfId="0" applyNumberFormat="1" applyFont="1" applyBorder="1"/>
    <xf numFmtId="39" fontId="116" fillId="0" borderId="33" xfId="0" applyFont="1" applyBorder="1"/>
    <xf numFmtId="39" fontId="116" fillId="0" borderId="0" xfId="0" applyFont="1"/>
    <xf numFmtId="9" fontId="116" fillId="0" borderId="77" xfId="458" applyFont="1" applyFill="1" applyBorder="1" applyAlignment="1" applyProtection="1"/>
    <xf numFmtId="39" fontId="115" fillId="0" borderId="23" xfId="0" applyFont="1" applyBorder="1"/>
    <xf numFmtId="39" fontId="115" fillId="0" borderId="24" xfId="0" applyFont="1" applyBorder="1"/>
    <xf numFmtId="37" fontId="115" fillId="0" borderId="26" xfId="0" applyNumberFormat="1" applyFont="1" applyBorder="1"/>
    <xf numFmtId="39" fontId="115" fillId="0" borderId="23" xfId="0" applyFont="1" applyBorder="1" applyAlignment="1">
      <alignment horizontal="left"/>
    </xf>
    <xf numFmtId="39" fontId="115" fillId="0" borderId="0" xfId="0" applyFont="1"/>
    <xf numFmtId="37" fontId="115" fillId="0" borderId="0" xfId="0" applyNumberFormat="1" applyFont="1"/>
    <xf numFmtId="10" fontId="115" fillId="0" borderId="0" xfId="0" applyNumberFormat="1" applyFont="1"/>
    <xf numFmtId="39" fontId="115" fillId="69" borderId="21" xfId="0" applyFont="1" applyFill="1" applyBorder="1"/>
    <xf numFmtId="49" fontId="115" fillId="69" borderId="12" xfId="335" applyNumberFormat="1" applyFont="1" applyFill="1" applyBorder="1" applyAlignment="1" applyProtection="1">
      <alignment horizontal="center"/>
    </xf>
    <xf numFmtId="49" fontId="115" fillId="69" borderId="22" xfId="335" applyNumberFormat="1" applyFont="1" applyFill="1" applyBorder="1" applyAlignment="1" applyProtection="1">
      <alignment horizontal="center"/>
    </xf>
    <xf numFmtId="37" fontId="115" fillId="69" borderId="12" xfId="0" applyNumberFormat="1" applyFont="1" applyFill="1" applyBorder="1" applyAlignment="1">
      <alignment horizontal="center"/>
    </xf>
    <xf numFmtId="9" fontId="115" fillId="69" borderId="71" xfId="458" applyFont="1" applyFill="1" applyBorder="1" applyAlignment="1" applyProtection="1">
      <alignment horizontal="center"/>
    </xf>
    <xf numFmtId="39" fontId="115" fillId="70" borderId="28" xfId="0" applyFont="1" applyFill="1" applyBorder="1"/>
    <xf numFmtId="37" fontId="115" fillId="70" borderId="28" xfId="0" applyNumberFormat="1" applyFont="1" applyFill="1" applyBorder="1"/>
    <xf numFmtId="9" fontId="115" fillId="70" borderId="28" xfId="458" applyFont="1" applyFill="1" applyBorder="1"/>
    <xf numFmtId="39" fontId="115" fillId="69" borderId="67" xfId="0" applyFont="1" applyFill="1" applyBorder="1"/>
    <xf numFmtId="39" fontId="131" fillId="70" borderId="15" xfId="0" applyFont="1" applyFill="1" applyBorder="1"/>
    <xf numFmtId="37" fontId="115" fillId="70" borderId="14" xfId="0" applyNumberFormat="1" applyFont="1" applyFill="1" applyBorder="1"/>
    <xf numFmtId="37" fontId="115" fillId="70" borderId="31" xfId="0" applyNumberFormat="1" applyFont="1" applyFill="1" applyBorder="1"/>
    <xf numFmtId="10" fontId="115" fillId="70" borderId="82" xfId="0" applyNumberFormat="1" applyFont="1" applyFill="1" applyBorder="1"/>
    <xf numFmtId="39" fontId="115" fillId="70" borderId="89" xfId="0" applyFont="1" applyFill="1" applyBorder="1"/>
    <xf numFmtId="37" fontId="115" fillId="70" borderId="90" xfId="0" applyNumberFormat="1" applyFont="1" applyFill="1" applyBorder="1"/>
    <xf numFmtId="10" fontId="115" fillId="70" borderId="91" xfId="0" applyNumberFormat="1" applyFont="1" applyFill="1" applyBorder="1"/>
    <xf numFmtId="37" fontId="116" fillId="0" borderId="63" xfId="0" applyNumberFormat="1" applyFont="1" applyBorder="1" applyAlignment="1">
      <alignment horizontal="right"/>
    </xf>
    <xf numFmtId="9" fontId="116" fillId="0" borderId="92" xfId="458" applyFont="1" applyFill="1" applyBorder="1" applyAlignment="1" applyProtection="1"/>
    <xf numFmtId="37" fontId="116" fillId="0" borderId="33" xfId="0" applyNumberFormat="1" applyFont="1" applyBorder="1" applyAlignment="1">
      <alignment horizontal="right"/>
    </xf>
    <xf numFmtId="37" fontId="116" fillId="0" borderId="93" xfId="0" applyNumberFormat="1" applyFont="1" applyBorder="1"/>
    <xf numFmtId="9" fontId="115" fillId="69" borderId="75" xfId="458" applyFont="1" applyFill="1" applyBorder="1" applyAlignment="1" applyProtection="1">
      <alignment horizontal="center"/>
    </xf>
    <xf numFmtId="39" fontId="115" fillId="69" borderId="72" xfId="0" applyFont="1" applyFill="1" applyBorder="1"/>
    <xf numFmtId="49" fontId="115" fillId="69" borderId="73" xfId="335" applyNumberFormat="1" applyFont="1" applyFill="1" applyBorder="1" applyAlignment="1" applyProtection="1">
      <alignment horizontal="center"/>
    </xf>
    <xf numFmtId="49" fontId="115" fillId="69" borderId="74" xfId="335" applyNumberFormat="1" applyFont="1" applyFill="1" applyBorder="1" applyAlignment="1" applyProtection="1">
      <alignment horizontal="center"/>
    </xf>
    <xf numFmtId="37" fontId="115" fillId="69" borderId="73" xfId="0" applyNumberFormat="1" applyFont="1" applyFill="1" applyBorder="1" applyAlignment="1">
      <alignment horizontal="center"/>
    </xf>
    <xf numFmtId="39" fontId="116" fillId="0" borderId="29" xfId="0" applyFont="1" applyBorder="1"/>
    <xf numFmtId="37" fontId="116" fillId="0" borderId="53" xfId="0" applyNumberFormat="1" applyFont="1" applyBorder="1"/>
    <xf numFmtId="39" fontId="116" fillId="0" borderId="30" xfId="0" applyFont="1" applyBorder="1"/>
    <xf numFmtId="39" fontId="115" fillId="0" borderId="30" xfId="0" applyFont="1" applyBorder="1"/>
    <xf numFmtId="9" fontId="115" fillId="0" borderId="63" xfId="458" applyFont="1" applyFill="1" applyBorder="1" applyAlignment="1" applyProtection="1"/>
    <xf numFmtId="39" fontId="116" fillId="0" borderId="62" xfId="0" applyFont="1" applyBorder="1"/>
    <xf numFmtId="9" fontId="116" fillId="0" borderId="33" xfId="458" applyFont="1" applyFill="1" applyBorder="1" applyAlignment="1" applyProtection="1"/>
    <xf numFmtId="37" fontId="116" fillId="0" borderId="49" xfId="0" applyNumberFormat="1" applyFont="1" applyBorder="1"/>
    <xf numFmtId="37" fontId="116" fillId="0" borderId="61" xfId="0" applyNumberFormat="1" applyFont="1" applyBorder="1"/>
    <xf numFmtId="9" fontId="116" fillId="0" borderId="53" xfId="458" applyFont="1" applyFill="1" applyBorder="1" applyAlignment="1" applyProtection="1"/>
    <xf numFmtId="9" fontId="116" fillId="0" borderId="63" xfId="458" applyFont="1" applyFill="1" applyBorder="1" applyAlignment="1" applyProtection="1"/>
    <xf numFmtId="37" fontId="153" fillId="0" borderId="0" xfId="0" applyNumberFormat="1" applyFont="1"/>
    <xf numFmtId="9" fontId="153" fillId="0" borderId="0" xfId="458" applyFont="1" applyFill="1" applyBorder="1" applyAlignment="1" applyProtection="1"/>
    <xf numFmtId="39" fontId="116" fillId="0" borderId="95" xfId="0" applyFont="1" applyBorder="1"/>
    <xf numFmtId="39" fontId="116" fillId="0" borderId="96" xfId="0" applyFont="1" applyBorder="1"/>
    <xf numFmtId="39" fontId="115" fillId="68" borderId="97" xfId="0" applyFont="1" applyFill="1" applyBorder="1"/>
    <xf numFmtId="39" fontId="115" fillId="0" borderId="98" xfId="0" applyFont="1" applyBorder="1"/>
    <xf numFmtId="37" fontId="115" fillId="0" borderId="99" xfId="0" applyNumberFormat="1" applyFont="1" applyBorder="1"/>
    <xf numFmtId="37" fontId="116" fillId="0" borderId="99" xfId="0" applyNumberFormat="1" applyFont="1" applyBorder="1"/>
    <xf numFmtId="9" fontId="116" fillId="0" borderId="100" xfId="458" applyFont="1" applyFill="1" applyBorder="1" applyAlignment="1" applyProtection="1"/>
    <xf numFmtId="39" fontId="115" fillId="66" borderId="34" xfId="0" applyFont="1" applyFill="1" applyBorder="1"/>
    <xf numFmtId="37" fontId="115" fillId="66" borderId="40" xfId="0" applyNumberFormat="1" applyFont="1" applyFill="1" applyBorder="1"/>
    <xf numFmtId="49" fontId="149" fillId="47" borderId="12" xfId="335" applyNumberFormat="1" applyFont="1" applyFill="1" applyBorder="1" applyAlignment="1" applyProtection="1">
      <alignment horizontal="center"/>
    </xf>
    <xf numFmtId="39" fontId="152" fillId="70" borderId="18" xfId="0" applyFont="1" applyFill="1" applyBorder="1" applyAlignment="1">
      <alignment horizontal="center"/>
    </xf>
    <xf numFmtId="3" fontId="152" fillId="70" borderId="19" xfId="0" applyNumberFormat="1" applyFont="1" applyFill="1" applyBorder="1"/>
    <xf numFmtId="174" fontId="156" fillId="0" borderId="0" xfId="335" applyNumberFormat="1" applyFont="1" applyFill="1" applyBorder="1" applyAlignment="1" applyProtection="1"/>
    <xf numFmtId="37" fontId="152" fillId="0" borderId="0" xfId="335" applyNumberFormat="1" applyFont="1" applyFill="1" applyBorder="1" applyAlignment="1" applyProtection="1">
      <alignment horizontal="left"/>
    </xf>
    <xf numFmtId="174" fontId="152" fillId="0" borderId="0" xfId="335" applyNumberFormat="1" applyFont="1" applyFill="1" applyBorder="1" applyAlignment="1" applyProtection="1">
      <alignment vertical="top"/>
    </xf>
    <xf numFmtId="168" fontId="74" fillId="54" borderId="0" xfId="420" applyNumberFormat="1" applyFont="1" applyFill="1" applyAlignment="1">
      <alignment horizontal="center"/>
    </xf>
    <xf numFmtId="39" fontId="98" fillId="0" borderId="0" xfId="0" applyFont="1"/>
    <xf numFmtId="172" fontId="99" fillId="0" borderId="0" xfId="363" applyNumberFormat="1" applyFont="1"/>
    <xf numFmtId="0" fontId="99" fillId="0" borderId="0" xfId="390" applyFont="1"/>
    <xf numFmtId="172" fontId="100" fillId="0" borderId="103" xfId="363" applyNumberFormat="1" applyFont="1" applyBorder="1"/>
    <xf numFmtId="0" fontId="97" fillId="0" borderId="0" xfId="390" applyFont="1" applyAlignment="1">
      <alignment horizontal="center"/>
    </xf>
    <xf numFmtId="172" fontId="100" fillId="47" borderId="104" xfId="363" applyNumberFormat="1" applyFont="1" applyFill="1" applyBorder="1"/>
    <xf numFmtId="172" fontId="100" fillId="0" borderId="0" xfId="363" applyNumberFormat="1" applyFont="1" applyFill="1" applyBorder="1"/>
    <xf numFmtId="172" fontId="99" fillId="0" borderId="0" xfId="363" applyNumberFormat="1" applyFont="1" applyFill="1" applyBorder="1"/>
    <xf numFmtId="39" fontId="98" fillId="0" borderId="77" xfId="0" applyFont="1" applyBorder="1"/>
    <xf numFmtId="9" fontId="102" fillId="0" borderId="77" xfId="458" applyFont="1" applyBorder="1"/>
    <xf numFmtId="0" fontId="97" fillId="0" borderId="20" xfId="390" applyFont="1" applyBorder="1" applyAlignment="1">
      <alignment horizontal="center"/>
    </xf>
    <xf numFmtId="9" fontId="101" fillId="0" borderId="77" xfId="458" applyFont="1" applyBorder="1"/>
    <xf numFmtId="0" fontId="105" fillId="0" borderId="20" xfId="390" applyFont="1" applyBorder="1"/>
    <xf numFmtId="0" fontId="105" fillId="0" borderId="0" xfId="390" applyFont="1"/>
    <xf numFmtId="0" fontId="99" fillId="0" borderId="20" xfId="390" applyFont="1" applyBorder="1"/>
    <xf numFmtId="172" fontId="99" fillId="0" borderId="0" xfId="363" applyNumberFormat="1" applyFont="1" applyBorder="1"/>
    <xf numFmtId="167" fontId="102" fillId="0" borderId="77" xfId="458" applyNumberFormat="1" applyFont="1" applyBorder="1"/>
    <xf numFmtId="167" fontId="101" fillId="0" borderId="77" xfId="458" applyNumberFormat="1" applyFont="1" applyBorder="1"/>
    <xf numFmtId="0" fontId="99" fillId="0" borderId="27" xfId="390" applyFont="1" applyBorder="1"/>
    <xf numFmtId="0" fontId="99" fillId="0" borderId="104" xfId="390" applyFont="1" applyBorder="1"/>
    <xf numFmtId="172" fontId="99" fillId="0" borderId="104" xfId="363" applyNumberFormat="1" applyFont="1" applyBorder="1"/>
    <xf numFmtId="172" fontId="99" fillId="0" borderId="104" xfId="363" applyNumberFormat="1" applyFont="1" applyFill="1" applyBorder="1"/>
    <xf numFmtId="9" fontId="101" fillId="0" borderId="105" xfId="458" applyFont="1" applyBorder="1"/>
    <xf numFmtId="39" fontId="77" fillId="0" borderId="20" xfId="0" applyFont="1" applyBorder="1"/>
    <xf numFmtId="0" fontId="103" fillId="0" borderId="74" xfId="390" applyFont="1" applyBorder="1"/>
    <xf numFmtId="0" fontId="103" fillId="47" borderId="45" xfId="390" applyFont="1" applyFill="1" applyBorder="1" applyAlignment="1">
      <alignment horizontal="center"/>
    </xf>
    <xf numFmtId="0" fontId="100" fillId="0" borderId="20" xfId="390" applyFont="1" applyBorder="1"/>
    <xf numFmtId="0" fontId="100" fillId="0" borderId="0" xfId="390" applyFont="1"/>
    <xf numFmtId="0" fontId="108" fillId="47" borderId="44" xfId="390" applyFont="1" applyFill="1" applyBorder="1"/>
    <xf numFmtId="176" fontId="98" fillId="0" borderId="0" xfId="0" applyNumberFormat="1" applyFont="1" applyAlignment="1">
      <alignment horizontal="left"/>
    </xf>
    <xf numFmtId="169" fontId="75" fillId="0" borderId="28" xfId="458" applyNumberFormat="1" applyFont="1" applyFill="1" applyBorder="1" applyAlignment="1">
      <alignment horizontal="center"/>
    </xf>
    <xf numFmtId="177" fontId="0" fillId="0" borderId="0" xfId="0" applyNumberFormat="1"/>
    <xf numFmtId="178" fontId="0" fillId="0" borderId="0" xfId="0" applyNumberFormat="1"/>
    <xf numFmtId="38" fontId="30" fillId="0" borderId="0" xfId="335" applyNumberFormat="1"/>
    <xf numFmtId="39" fontId="160" fillId="0" borderId="0" xfId="0" applyFont="1"/>
    <xf numFmtId="38" fontId="148" fillId="0" borderId="111" xfId="335" applyNumberFormat="1" applyFont="1" applyBorder="1" applyAlignment="1">
      <alignment horizontal="center"/>
    </xf>
    <xf numFmtId="38" fontId="149" fillId="47" borderId="12" xfId="335" applyNumberFormat="1" applyFont="1" applyFill="1" applyBorder="1" applyAlignment="1" applyProtection="1">
      <alignment horizontal="center"/>
    </xf>
    <xf numFmtId="39" fontId="148" fillId="0" borderId="72" xfId="0" applyFont="1" applyBorder="1"/>
    <xf numFmtId="39" fontId="148" fillId="0" borderId="20" xfId="0" applyFont="1" applyBorder="1"/>
    <xf numFmtId="39" fontId="148" fillId="0" borderId="27" xfId="0" applyFont="1" applyBorder="1"/>
    <xf numFmtId="38" fontId="28" fillId="0" borderId="73" xfId="335" applyNumberFormat="1" applyFont="1" applyBorder="1" applyAlignment="1">
      <alignment horizontal="center"/>
    </xf>
    <xf numFmtId="38" fontId="28" fillId="0" borderId="76" xfId="335" applyNumberFormat="1" applyFont="1" applyBorder="1" applyAlignment="1">
      <alignment horizontal="center"/>
    </xf>
    <xf numFmtId="38" fontId="28" fillId="0" borderId="39" xfId="335" applyNumberFormat="1" applyFont="1" applyBorder="1" applyAlignment="1">
      <alignment horizontal="center"/>
    </xf>
    <xf numFmtId="0" fontId="148" fillId="0" borderId="0" xfId="0" applyNumberFormat="1" applyFont="1" applyAlignment="1">
      <alignment horizontal="center"/>
    </xf>
    <xf numFmtId="0" fontId="148" fillId="0" borderId="73" xfId="0" applyNumberFormat="1" applyFont="1" applyBorder="1" applyAlignment="1">
      <alignment horizontal="center"/>
    </xf>
    <xf numFmtId="0" fontId="148" fillId="0" borderId="76" xfId="0" applyNumberFormat="1" applyFont="1" applyBorder="1" applyAlignment="1">
      <alignment horizontal="center"/>
    </xf>
    <xf numFmtId="0" fontId="148" fillId="0" borderId="39" xfId="0" applyNumberFormat="1" applyFont="1" applyBorder="1" applyAlignment="1">
      <alignment horizontal="center"/>
    </xf>
    <xf numFmtId="37" fontId="0" fillId="0" borderId="0" xfId="0" applyNumberFormat="1"/>
    <xf numFmtId="37" fontId="149" fillId="47" borderId="12" xfId="335" applyNumberFormat="1" applyFont="1" applyFill="1" applyBorder="1" applyAlignment="1" applyProtection="1">
      <alignment horizontal="center"/>
    </xf>
    <xf numFmtId="37" fontId="28" fillId="0" borderId="0" xfId="0" applyNumberFormat="1" applyFont="1"/>
    <xf numFmtId="37" fontId="28" fillId="0" borderId="73" xfId="0" applyNumberFormat="1" applyFont="1" applyBorder="1"/>
    <xf numFmtId="37" fontId="28" fillId="0" borderId="76" xfId="0" applyNumberFormat="1" applyFont="1" applyBorder="1"/>
    <xf numFmtId="37" fontId="28" fillId="0" borderId="39" xfId="0" applyNumberFormat="1" applyFont="1" applyBorder="1"/>
    <xf numFmtId="37" fontId="152" fillId="70" borderId="19" xfId="0" applyNumberFormat="1" applyFont="1" applyFill="1" applyBorder="1"/>
    <xf numFmtId="10" fontId="30" fillId="0" borderId="0" xfId="458" applyNumberFormat="1" applyFill="1" applyBorder="1"/>
    <xf numFmtId="0" fontId="147" fillId="0" borderId="0" xfId="359" applyNumberFormat="1" applyFont="1" applyFill="1"/>
    <xf numFmtId="172" fontId="147" fillId="0" borderId="0" xfId="359" applyNumberFormat="1" applyFont="1" applyFill="1"/>
    <xf numFmtId="39" fontId="161" fillId="0" borderId="0" xfId="0" applyFont="1"/>
    <xf numFmtId="172" fontId="161" fillId="0" borderId="0" xfId="335" applyNumberFormat="1" applyFont="1"/>
    <xf numFmtId="0" fontId="161" fillId="0" borderId="0" xfId="0" applyNumberFormat="1" applyFont="1"/>
    <xf numFmtId="172" fontId="146" fillId="0" borderId="0" xfId="0" applyNumberFormat="1" applyFont="1"/>
    <xf numFmtId="168" fontId="75" fillId="0" borderId="48" xfId="447" applyNumberFormat="1" applyFont="1" applyBorder="1" applyAlignment="1">
      <alignment horizontal="left"/>
    </xf>
    <xf numFmtId="38" fontId="75" fillId="65" borderId="28" xfId="335" applyNumberFormat="1" applyFont="1" applyFill="1" applyBorder="1"/>
    <xf numFmtId="168" fontId="74" fillId="65" borderId="28" xfId="360" applyNumberFormat="1" applyFont="1" applyFill="1" applyBorder="1" applyAlignment="1" applyProtection="1"/>
    <xf numFmtId="0" fontId="146" fillId="36" borderId="0" xfId="0" applyNumberFormat="1" applyFont="1" applyFill="1"/>
    <xf numFmtId="0" fontId="161" fillId="0" borderId="0" xfId="539" applyFont="1"/>
    <xf numFmtId="172" fontId="161" fillId="0" borderId="0" xfId="541" applyNumberFormat="1" applyFont="1"/>
    <xf numFmtId="168" fontId="75" fillId="47" borderId="28" xfId="360" applyNumberFormat="1" applyFont="1" applyFill="1" applyBorder="1" applyAlignment="1" applyProtection="1">
      <alignment horizontal="right"/>
    </xf>
    <xf numFmtId="0" fontId="75" fillId="0" borderId="0" xfId="335" applyNumberFormat="1" applyFont="1" applyFill="1" applyBorder="1"/>
    <xf numFmtId="38" fontId="162" fillId="54" borderId="0" xfId="335" applyNumberFormat="1" applyFont="1" applyFill="1" applyBorder="1" applyAlignment="1" applyProtection="1"/>
    <xf numFmtId="38" fontId="163" fillId="0" borderId="0" xfId="335" applyNumberFormat="1" applyFont="1" applyFill="1"/>
    <xf numFmtId="39" fontId="30" fillId="0" borderId="0" xfId="0" applyFont="1"/>
    <xf numFmtId="39" fontId="30" fillId="0" borderId="77" xfId="0" applyFont="1" applyBorder="1"/>
    <xf numFmtId="39" fontId="30" fillId="0" borderId="21" xfId="0" applyFont="1" applyBorder="1"/>
    <xf numFmtId="39" fontId="30" fillId="0" borderId="73" xfId="0" applyFont="1" applyBorder="1"/>
    <xf numFmtId="39" fontId="30" fillId="0" borderId="75" xfId="0" applyFont="1" applyBorder="1"/>
    <xf numFmtId="39" fontId="30" fillId="0" borderId="105" xfId="0" applyFont="1" applyBorder="1"/>
    <xf numFmtId="0" fontId="38" fillId="0" borderId="20" xfId="537" applyFont="1" applyBorder="1" applyAlignment="1">
      <alignment horizontal="center"/>
    </xf>
    <xf numFmtId="0" fontId="38" fillId="0" borderId="0" xfId="537" applyFont="1" applyAlignment="1">
      <alignment horizontal="center"/>
    </xf>
    <xf numFmtId="0" fontId="38" fillId="47" borderId="45" xfId="537" applyFont="1" applyFill="1" applyBorder="1"/>
    <xf numFmtId="174" fontId="29" fillId="47" borderId="12" xfId="335" applyNumberFormat="1" applyFont="1" applyFill="1" applyBorder="1" applyAlignment="1" applyProtection="1">
      <alignment horizontal="center"/>
    </xf>
    <xf numFmtId="9" fontId="29" fillId="47" borderId="12" xfId="458" applyFont="1" applyFill="1" applyBorder="1" applyAlignment="1" applyProtection="1">
      <alignment horizontal="center"/>
    </xf>
    <xf numFmtId="39" fontId="30" fillId="0" borderId="20" xfId="0" applyFont="1" applyBorder="1"/>
    <xf numFmtId="0" fontId="38" fillId="0" borderId="74" xfId="537" applyFont="1" applyBorder="1"/>
    <xf numFmtId="172" fontId="38" fillId="47" borderId="71" xfId="538" applyNumberFormat="1" applyFont="1" applyFill="1" applyBorder="1"/>
    <xf numFmtId="167" fontId="29" fillId="47" borderId="71" xfId="458" applyNumberFormat="1" applyFont="1" applyFill="1" applyBorder="1"/>
    <xf numFmtId="172" fontId="165" fillId="0" borderId="73" xfId="538" applyNumberFormat="1" applyFont="1" applyFill="1" applyBorder="1"/>
    <xf numFmtId="0" fontId="164" fillId="0" borderId="20" xfId="537" applyFont="1" applyBorder="1"/>
    <xf numFmtId="0" fontId="164" fillId="0" borderId="0" xfId="537" applyFont="1"/>
    <xf numFmtId="172" fontId="38" fillId="0" borderId="109" xfId="538" applyNumberFormat="1" applyFont="1" applyFill="1" applyBorder="1"/>
    <xf numFmtId="172" fontId="38" fillId="0" borderId="109" xfId="538" applyNumberFormat="1" applyFont="1" applyBorder="1"/>
    <xf numFmtId="164" fontId="38" fillId="0" borderId="109" xfId="538" applyFont="1" applyBorder="1"/>
    <xf numFmtId="0" fontId="165" fillId="0" borderId="20" xfId="537" applyFont="1" applyBorder="1"/>
    <xf numFmtId="0" fontId="165" fillId="0" borderId="0" xfId="537" applyFont="1"/>
    <xf numFmtId="172" fontId="165" fillId="0" borderId="76" xfId="538" applyNumberFormat="1" applyFont="1" applyFill="1" applyBorder="1"/>
    <xf numFmtId="172" fontId="165" fillId="0" borderId="77" xfId="538" applyNumberFormat="1" applyFont="1" applyBorder="1"/>
    <xf numFmtId="164" fontId="165" fillId="0" borderId="77" xfId="538" applyFont="1" applyBorder="1"/>
    <xf numFmtId="172" fontId="165" fillId="0" borderId="76" xfId="538" applyNumberFormat="1" applyFont="1" applyBorder="1"/>
    <xf numFmtId="172" fontId="166" fillId="0" borderId="76" xfId="538" applyNumberFormat="1" applyFont="1" applyFill="1" applyBorder="1"/>
    <xf numFmtId="172" fontId="166" fillId="0" borderId="77" xfId="538" applyNumberFormat="1" applyFont="1" applyBorder="1"/>
    <xf numFmtId="0" fontId="30" fillId="0" borderId="77" xfId="0" applyNumberFormat="1" applyFont="1" applyBorder="1"/>
    <xf numFmtId="37" fontId="29" fillId="0" borderId="109" xfId="0" applyNumberFormat="1" applyFont="1" applyBorder="1"/>
    <xf numFmtId="39" fontId="29" fillId="0" borderId="109" xfId="0" applyFont="1" applyBorder="1"/>
    <xf numFmtId="37" fontId="30" fillId="0" borderId="77" xfId="0" applyNumberFormat="1" applyFont="1" applyBorder="1"/>
    <xf numFmtId="0" fontId="165" fillId="0" borderId="27" xfId="537" applyFont="1" applyBorder="1"/>
    <xf numFmtId="0" fontId="165" fillId="0" borderId="104" xfId="537" applyFont="1" applyBorder="1"/>
    <xf numFmtId="172" fontId="165" fillId="0" borderId="39" xfId="538" applyNumberFormat="1" applyFont="1" applyBorder="1"/>
    <xf numFmtId="172" fontId="165" fillId="0" borderId="105" xfId="538" applyNumberFormat="1" applyFont="1" applyBorder="1"/>
    <xf numFmtId="164" fontId="38" fillId="47" borderId="71" xfId="538" applyFont="1" applyFill="1" applyBorder="1"/>
    <xf numFmtId="0" fontId="38" fillId="0" borderId="72" xfId="537" applyFont="1" applyBorder="1" applyAlignment="1">
      <alignment horizontal="center"/>
    </xf>
    <xf numFmtId="172" fontId="165" fillId="0" borderId="75" xfId="538" applyNumberFormat="1" applyFont="1" applyBorder="1"/>
    <xf numFmtId="172" fontId="38" fillId="0" borderId="108" xfId="538" applyNumberFormat="1" applyFont="1" applyBorder="1"/>
    <xf numFmtId="0" fontId="167" fillId="0" borderId="20" xfId="537" applyFont="1" applyBorder="1"/>
    <xf numFmtId="172" fontId="165" fillId="0" borderId="110" xfId="538" applyNumberFormat="1" applyFont="1" applyBorder="1"/>
    <xf numFmtId="0" fontId="38" fillId="0" borderId="20" xfId="537" applyFont="1" applyBorder="1"/>
    <xf numFmtId="0" fontId="38" fillId="0" borderId="0" xfId="537" applyFont="1"/>
    <xf numFmtId="164" fontId="165" fillId="0" borderId="105" xfId="538" applyFont="1" applyBorder="1"/>
    <xf numFmtId="172" fontId="38" fillId="47" borderId="105" xfId="538" applyNumberFormat="1" applyFont="1" applyFill="1" applyBorder="1"/>
    <xf numFmtId="164" fontId="38" fillId="47" borderId="105" xfId="538" applyFont="1" applyFill="1" applyBorder="1"/>
    <xf numFmtId="0" fontId="38" fillId="0" borderId="75" xfId="537" applyFont="1" applyBorder="1" applyAlignment="1">
      <alignment horizontal="center"/>
    </xf>
    <xf numFmtId="172" fontId="38" fillId="0" borderId="77" xfId="538" applyNumberFormat="1" applyFont="1" applyFill="1" applyBorder="1"/>
    <xf numFmtId="172" fontId="165" fillId="0" borderId="73" xfId="538" applyNumberFormat="1" applyFont="1" applyBorder="1"/>
    <xf numFmtId="164" fontId="165" fillId="0" borderId="76" xfId="538" applyFont="1" applyBorder="1"/>
    <xf numFmtId="39" fontId="30" fillId="0" borderId="76" xfId="0" applyFont="1" applyBorder="1"/>
    <xf numFmtId="39" fontId="165" fillId="0" borderId="0" xfId="537" applyNumberFormat="1" applyFont="1"/>
    <xf numFmtId="39" fontId="29" fillId="47" borderId="12" xfId="0" applyFont="1" applyFill="1" applyBorder="1"/>
    <xf numFmtId="39" fontId="29" fillId="47" borderId="12" xfId="0" applyFont="1" applyFill="1" applyBorder="1" applyAlignment="1">
      <alignment horizontal="center" vertical="center"/>
    </xf>
    <xf numFmtId="37" fontId="30" fillId="0" borderId="0" xfId="0" applyNumberFormat="1" applyFont="1"/>
    <xf numFmtId="39" fontId="29" fillId="70" borderId="12" xfId="0" applyFont="1" applyFill="1" applyBorder="1"/>
    <xf numFmtId="37" fontId="29" fillId="70" borderId="22" xfId="0" applyNumberFormat="1" applyFont="1" applyFill="1" applyBorder="1"/>
    <xf numFmtId="9" fontId="29" fillId="70" borderId="12" xfId="458" applyFont="1" applyFill="1" applyBorder="1" applyAlignment="1" applyProtection="1"/>
    <xf numFmtId="37" fontId="29" fillId="0" borderId="0" xfId="0" applyNumberFormat="1" applyFont="1"/>
    <xf numFmtId="9" fontId="29" fillId="0" borderId="0" xfId="458" applyFont="1" applyFill="1" applyBorder="1" applyAlignment="1" applyProtection="1"/>
    <xf numFmtId="37" fontId="29" fillId="70" borderId="12" xfId="0" applyNumberFormat="1" applyFont="1" applyFill="1" applyBorder="1"/>
    <xf numFmtId="39" fontId="29" fillId="70" borderId="21" xfId="0" applyFont="1" applyFill="1" applyBorder="1"/>
    <xf numFmtId="9" fontId="29" fillId="70" borderId="71" xfId="458" applyFont="1" applyFill="1" applyBorder="1" applyAlignment="1" applyProtection="1"/>
    <xf numFmtId="37" fontId="30" fillId="0" borderId="94" xfId="0" applyNumberFormat="1" applyFont="1" applyBorder="1"/>
    <xf numFmtId="9" fontId="30" fillId="0" borderId="94" xfId="458" applyFill="1" applyBorder="1" applyAlignment="1" applyProtection="1"/>
    <xf numFmtId="39" fontId="30" fillId="6" borderId="0" xfId="0" applyFont="1" applyFill="1"/>
    <xf numFmtId="37" fontId="30" fillId="6" borderId="0" xfId="0" applyNumberFormat="1" applyFont="1" applyFill="1"/>
    <xf numFmtId="9" fontId="30" fillId="6" borderId="0" xfId="458" applyFill="1" applyBorder="1" applyAlignment="1" applyProtection="1"/>
    <xf numFmtId="174" fontId="29" fillId="0" borderId="0" xfId="335" applyNumberFormat="1" applyFont="1" applyFill="1" applyBorder="1" applyAlignment="1" applyProtection="1"/>
    <xf numFmtId="174" fontId="26" fillId="0" borderId="0" xfId="335" applyNumberFormat="1" applyFont="1" applyFill="1" applyBorder="1" applyAlignment="1" applyProtection="1"/>
    <xf numFmtId="174" fontId="26" fillId="0" borderId="0" xfId="335" applyNumberFormat="1" applyFont="1" applyFill="1" applyBorder="1" applyAlignment="1" applyProtection="1">
      <alignment horizontal="left"/>
    </xf>
    <xf numFmtId="39" fontId="28" fillId="0" borderId="0" xfId="0" applyFont="1"/>
    <xf numFmtId="9" fontId="28" fillId="0" borderId="77" xfId="458" applyFont="1" applyFill="1" applyBorder="1" applyAlignment="1" applyProtection="1"/>
    <xf numFmtId="39" fontId="29" fillId="67" borderId="12" xfId="0" applyFont="1" applyFill="1" applyBorder="1" applyAlignment="1">
      <alignment horizontal="center" vertical="center"/>
    </xf>
    <xf numFmtId="9" fontId="30" fillId="0" borderId="77" xfId="458" applyFill="1" applyBorder="1" applyAlignment="1" applyProtection="1"/>
    <xf numFmtId="39" fontId="29" fillId="66" borderId="12" xfId="0" applyFont="1" applyFill="1" applyBorder="1"/>
    <xf numFmtId="37" fontId="29" fillId="66" borderId="12" xfId="0" applyNumberFormat="1" applyFont="1" applyFill="1" applyBorder="1"/>
    <xf numFmtId="9" fontId="29" fillId="6" borderId="12" xfId="458" applyFont="1" applyFill="1" applyBorder="1" applyAlignment="1" applyProtection="1"/>
    <xf numFmtId="39" fontId="29" fillId="0" borderId="20" xfId="0" applyFont="1" applyBorder="1"/>
    <xf numFmtId="39" fontId="29" fillId="68" borderId="12" xfId="0" applyFont="1" applyFill="1" applyBorder="1"/>
    <xf numFmtId="37" fontId="30" fillId="0" borderId="61" xfId="0" applyNumberFormat="1" applyFont="1" applyBorder="1"/>
    <xf numFmtId="9" fontId="29" fillId="66" borderId="12" xfId="458" applyFont="1" applyFill="1" applyBorder="1" applyAlignment="1" applyProtection="1"/>
    <xf numFmtId="37" fontId="29" fillId="0" borderId="77" xfId="0" applyNumberFormat="1" applyFont="1" applyBorder="1"/>
    <xf numFmtId="37" fontId="30" fillId="0" borderId="0" xfId="0" applyNumberFormat="1" applyFont="1" applyAlignment="1">
      <alignment horizontal="right"/>
    </xf>
    <xf numFmtId="37" fontId="29" fillId="66" borderId="12" xfId="335" applyNumberFormat="1" applyFont="1" applyFill="1" applyBorder="1" applyAlignment="1" applyProtection="1"/>
    <xf numFmtId="3" fontId="30" fillId="0" borderId="0" xfId="0" applyNumberFormat="1" applyFont="1"/>
    <xf numFmtId="39" fontId="26" fillId="47" borderId="21" xfId="0" applyFont="1" applyFill="1" applyBorder="1" applyAlignment="1">
      <alignment vertical="center"/>
    </xf>
    <xf numFmtId="49" fontId="26" fillId="47" borderId="12" xfId="335" applyNumberFormat="1" applyFont="1" applyFill="1" applyBorder="1" applyAlignment="1" applyProtection="1">
      <alignment horizontal="center"/>
    </xf>
    <xf numFmtId="49" fontId="26" fillId="47" borderId="22" xfId="335" applyNumberFormat="1" applyFont="1" applyFill="1" applyBorder="1" applyAlignment="1" applyProtection="1">
      <alignment horizontal="center"/>
    </xf>
    <xf numFmtId="49" fontId="26" fillId="47" borderId="71" xfId="335" applyNumberFormat="1" applyFont="1" applyFill="1" applyBorder="1" applyAlignment="1" applyProtection="1">
      <alignment horizontal="center"/>
    </xf>
    <xf numFmtId="49" fontId="28" fillId="0" borderId="76" xfId="0" applyNumberFormat="1" applyFont="1" applyBorder="1" applyAlignment="1">
      <alignment horizontal="left"/>
    </xf>
    <xf numFmtId="167" fontId="28" fillId="0" borderId="76" xfId="0" applyNumberFormat="1" applyFont="1" applyBorder="1"/>
    <xf numFmtId="9" fontId="28" fillId="0" borderId="76" xfId="0" applyNumberFormat="1" applyFont="1" applyBorder="1"/>
    <xf numFmtId="3" fontId="28" fillId="0" borderId="73" xfId="0" applyNumberFormat="1" applyFont="1" applyBorder="1"/>
    <xf numFmtId="49" fontId="28" fillId="0" borderId="76" xfId="0" applyNumberFormat="1" applyFont="1" applyBorder="1" applyAlignment="1">
      <alignment horizontal="center"/>
    </xf>
    <xf numFmtId="39" fontId="26" fillId="70" borderId="21" xfId="0" applyFont="1" applyFill="1" applyBorder="1" applyAlignment="1">
      <alignment horizontal="center"/>
    </xf>
    <xf numFmtId="39" fontId="26" fillId="70" borderId="12" xfId="0" applyFont="1" applyFill="1" applyBorder="1" applyAlignment="1">
      <alignment horizontal="center"/>
    </xf>
    <xf numFmtId="9" fontId="26" fillId="70" borderId="12" xfId="0" applyNumberFormat="1" applyFont="1" applyFill="1" applyBorder="1"/>
    <xf numFmtId="9" fontId="26" fillId="70" borderId="12" xfId="458" applyFont="1" applyFill="1" applyBorder="1" applyAlignment="1" applyProtection="1"/>
    <xf numFmtId="9" fontId="26" fillId="0" borderId="0" xfId="0" applyNumberFormat="1" applyFont="1"/>
    <xf numFmtId="175" fontId="28" fillId="0" borderId="77" xfId="0" applyNumberFormat="1" applyFont="1" applyBorder="1"/>
    <xf numFmtId="9" fontId="26" fillId="70" borderId="71" xfId="458" applyFont="1" applyFill="1" applyBorder="1" applyAlignment="1" applyProtection="1"/>
    <xf numFmtId="39" fontId="26" fillId="70" borderId="18" xfId="0" applyFont="1" applyFill="1" applyBorder="1" applyAlignment="1">
      <alignment horizontal="center"/>
    </xf>
    <xf numFmtId="3" fontId="26" fillId="70" borderId="19" xfId="0" applyNumberFormat="1" applyFont="1" applyFill="1" applyBorder="1"/>
    <xf numFmtId="9" fontId="26" fillId="70" borderId="19" xfId="0" applyNumberFormat="1" applyFont="1" applyFill="1" applyBorder="1"/>
    <xf numFmtId="9" fontId="26" fillId="70" borderId="102" xfId="458" applyFont="1" applyFill="1" applyBorder="1" applyAlignment="1" applyProtection="1"/>
    <xf numFmtId="39" fontId="26" fillId="47" borderId="12" xfId="0" applyFont="1" applyFill="1" applyBorder="1" applyAlignment="1">
      <alignment vertical="center"/>
    </xf>
    <xf numFmtId="49" fontId="28" fillId="0" borderId="0" xfId="0" applyNumberFormat="1" applyFont="1" applyAlignment="1">
      <alignment horizontal="left"/>
    </xf>
    <xf numFmtId="167" fontId="28" fillId="0" borderId="0" xfId="0" applyNumberFormat="1" applyFont="1"/>
    <xf numFmtId="167" fontId="28" fillId="0" borderId="77" xfId="458" applyNumberFormat="1" applyFont="1" applyFill="1" applyBorder="1" applyAlignment="1" applyProtection="1"/>
    <xf numFmtId="0" fontId="28" fillId="0" borderId="0" xfId="0" applyNumberFormat="1" applyFont="1" applyAlignment="1">
      <alignment horizontal="center"/>
    </xf>
    <xf numFmtId="49" fontId="28" fillId="0" borderId="0" xfId="0" applyNumberFormat="1" applyFont="1" applyAlignment="1">
      <alignment horizontal="center"/>
    </xf>
    <xf numFmtId="175" fontId="26" fillId="0" borderId="77" xfId="0" applyNumberFormat="1" applyFont="1" applyBorder="1"/>
    <xf numFmtId="9" fontId="28" fillId="0" borderId="0" xfId="0" applyNumberFormat="1" applyFont="1"/>
    <xf numFmtId="49" fontId="28" fillId="0" borderId="14" xfId="0" applyNumberFormat="1" applyFont="1" applyBorder="1" applyAlignment="1">
      <alignment horizontal="center"/>
    </xf>
    <xf numFmtId="9" fontId="28" fillId="0" borderId="14" xfId="0" applyNumberFormat="1" applyFont="1" applyBorder="1"/>
    <xf numFmtId="9" fontId="28" fillId="0" borderId="79" xfId="458" applyFont="1" applyFill="1" applyBorder="1" applyAlignment="1" applyProtection="1"/>
    <xf numFmtId="9" fontId="26" fillId="70" borderId="102" xfId="0" applyNumberFormat="1" applyFont="1" applyFill="1" applyBorder="1"/>
    <xf numFmtId="39" fontId="162" fillId="47" borderId="21" xfId="0" applyFont="1" applyFill="1" applyBorder="1"/>
    <xf numFmtId="39" fontId="162" fillId="47" borderId="22" xfId="0" applyFont="1" applyFill="1" applyBorder="1"/>
    <xf numFmtId="39" fontId="162" fillId="47" borderId="71" xfId="0" applyFont="1" applyFill="1" applyBorder="1"/>
    <xf numFmtId="39" fontId="29" fillId="47" borderId="12" xfId="0" applyFont="1" applyFill="1" applyBorder="1" applyAlignment="1">
      <alignment vertical="center"/>
    </xf>
    <xf numFmtId="39" fontId="29" fillId="47" borderId="22" xfId="0" applyFont="1" applyFill="1" applyBorder="1" applyAlignment="1">
      <alignment horizontal="center"/>
    </xf>
    <xf numFmtId="49" fontId="29" fillId="47" borderId="12" xfId="335" applyNumberFormat="1" applyFont="1" applyFill="1" applyBorder="1" applyAlignment="1" applyProtection="1">
      <alignment horizontal="center"/>
    </xf>
    <xf numFmtId="9" fontId="29" fillId="47" borderId="22" xfId="458" applyFont="1" applyFill="1" applyBorder="1" applyAlignment="1" applyProtection="1">
      <alignment horizontal="center"/>
    </xf>
    <xf numFmtId="9" fontId="29" fillId="47" borderId="12" xfId="0" applyNumberFormat="1" applyFont="1" applyFill="1" applyBorder="1" applyAlignment="1">
      <alignment horizontal="center"/>
    </xf>
    <xf numFmtId="39" fontId="0" fillId="0" borderId="20" xfId="0" applyBorder="1"/>
    <xf numFmtId="37" fontId="29" fillId="0" borderId="76" xfId="0" applyNumberFormat="1" applyFont="1" applyBorder="1" applyAlignment="1">
      <alignment horizontal="center"/>
    </xf>
    <xf numFmtId="174" fontId="0" fillId="0" borderId="0" xfId="335" applyNumberFormat="1" applyFont="1" applyFill="1" applyBorder="1" applyAlignment="1" applyProtection="1"/>
    <xf numFmtId="174" fontId="0" fillId="0" borderId="76" xfId="335" applyNumberFormat="1" applyFont="1" applyFill="1" applyBorder="1" applyAlignment="1" applyProtection="1"/>
    <xf numFmtId="39" fontId="0" fillId="0" borderId="76" xfId="0" applyBorder="1"/>
    <xf numFmtId="10" fontId="0" fillId="0" borderId="105" xfId="458" applyNumberFormat="1" applyFont="1" applyFill="1" applyBorder="1" applyAlignment="1" applyProtection="1"/>
    <xf numFmtId="10" fontId="29" fillId="0" borderId="77" xfId="458" applyNumberFormat="1" applyFont="1" applyFill="1" applyBorder="1" applyAlignment="1" applyProtection="1"/>
    <xf numFmtId="37" fontId="0" fillId="0" borderId="76" xfId="0" applyNumberFormat="1" applyBorder="1" applyAlignment="1">
      <alignment horizontal="center"/>
    </xf>
    <xf numFmtId="9" fontId="0" fillId="0" borderId="77" xfId="0" applyNumberFormat="1" applyBorder="1"/>
    <xf numFmtId="174" fontId="0" fillId="0" borderId="27" xfId="335" applyNumberFormat="1" applyFont="1" applyFill="1" applyBorder="1" applyAlignment="1" applyProtection="1"/>
    <xf numFmtId="39" fontId="29" fillId="47" borderId="21" xfId="0" applyFont="1" applyFill="1" applyBorder="1"/>
    <xf numFmtId="37" fontId="29" fillId="47" borderId="12" xfId="0" applyNumberFormat="1" applyFont="1" applyFill="1" applyBorder="1" applyAlignment="1">
      <alignment horizontal="center"/>
    </xf>
    <xf numFmtId="9" fontId="29" fillId="47" borderId="12" xfId="458" applyFont="1" applyFill="1" applyBorder="1" applyAlignment="1" applyProtection="1"/>
    <xf numFmtId="10" fontId="29" fillId="47" borderId="71" xfId="458" applyNumberFormat="1" applyFont="1" applyFill="1" applyBorder="1" applyAlignment="1" applyProtection="1"/>
    <xf numFmtId="37" fontId="29" fillId="0" borderId="0" xfId="0" applyNumberFormat="1" applyFont="1" applyAlignment="1">
      <alignment horizontal="center"/>
    </xf>
    <xf numFmtId="9" fontId="0" fillId="0" borderId="77" xfId="458" applyFont="1" applyFill="1" applyBorder="1" applyAlignment="1" applyProtection="1"/>
    <xf numFmtId="174" fontId="29" fillId="47" borderId="73" xfId="335" applyNumberFormat="1" applyFont="1" applyFill="1" applyBorder="1" applyAlignment="1" applyProtection="1">
      <alignment horizontal="center"/>
    </xf>
    <xf numFmtId="9" fontId="29" fillId="47" borderId="74" xfId="458" applyFont="1" applyFill="1" applyBorder="1" applyAlignment="1" applyProtection="1">
      <alignment horizontal="center"/>
    </xf>
    <xf numFmtId="9" fontId="29" fillId="47" borderId="73" xfId="0" applyNumberFormat="1" applyFont="1" applyFill="1" applyBorder="1" applyAlignment="1">
      <alignment horizontal="center"/>
    </xf>
    <xf numFmtId="37" fontId="29" fillId="0" borderId="20" xfId="0" applyNumberFormat="1" applyFont="1" applyBorder="1" applyAlignment="1">
      <alignment horizontal="center"/>
    </xf>
    <xf numFmtId="9" fontId="0" fillId="0" borderId="63" xfId="458" applyFont="1" applyFill="1" applyBorder="1" applyAlignment="1" applyProtection="1"/>
    <xf numFmtId="39" fontId="29" fillId="47" borderId="21" xfId="0" applyFont="1" applyFill="1" applyBorder="1" applyAlignment="1">
      <alignment vertical="center"/>
    </xf>
    <xf numFmtId="174" fontId="29" fillId="0" borderId="70" xfId="335" applyNumberFormat="1" applyFont="1" applyFill="1" applyBorder="1" applyAlignment="1" applyProtection="1"/>
    <xf numFmtId="9" fontId="29" fillId="47" borderId="39" xfId="458" applyFont="1" applyFill="1" applyBorder="1" applyAlignment="1" applyProtection="1"/>
    <xf numFmtId="37" fontId="0" fillId="0" borderId="0" xfId="0" applyNumberFormat="1" applyAlignment="1">
      <alignment horizontal="center"/>
    </xf>
    <xf numFmtId="9" fontId="0" fillId="0" borderId="0" xfId="458" applyFont="1" applyFill="1" applyBorder="1" applyAlignment="1" applyProtection="1"/>
    <xf numFmtId="39" fontId="29" fillId="47" borderId="12" xfId="0" applyFont="1" applyFill="1" applyBorder="1" applyAlignment="1">
      <alignment horizontal="center"/>
    </xf>
    <xf numFmtId="10" fontId="29" fillId="47" borderId="105" xfId="458" applyNumberFormat="1" applyFont="1" applyFill="1" applyBorder="1" applyAlignment="1" applyProtection="1"/>
    <xf numFmtId="167" fontId="0" fillId="0" borderId="77" xfId="458" applyNumberFormat="1" applyFont="1" applyFill="1" applyBorder="1" applyAlignment="1" applyProtection="1"/>
    <xf numFmtId="10" fontId="29" fillId="0" borderId="71" xfId="458" applyNumberFormat="1" applyFont="1" applyFill="1" applyBorder="1" applyAlignment="1" applyProtection="1"/>
    <xf numFmtId="39" fontId="0" fillId="0" borderId="72" xfId="0" applyBorder="1"/>
    <xf numFmtId="39" fontId="0" fillId="0" borderId="27" xfId="0" applyBorder="1"/>
    <xf numFmtId="37" fontId="29" fillId="0" borderId="73" xfId="0" applyNumberFormat="1" applyFont="1" applyBorder="1" applyAlignment="1">
      <alignment horizontal="center"/>
    </xf>
    <xf numFmtId="0" fontId="161" fillId="0" borderId="0" xfId="543" applyFont="1"/>
    <xf numFmtId="0" fontId="4" fillId="0" borderId="0" xfId="543"/>
    <xf numFmtId="172" fontId="165" fillId="0" borderId="74" xfId="538" applyNumberFormat="1" applyFont="1" applyFill="1" applyBorder="1"/>
    <xf numFmtId="172" fontId="165" fillId="0" borderId="77" xfId="538" applyNumberFormat="1" applyFont="1" applyFill="1" applyBorder="1"/>
    <xf numFmtId="172" fontId="38" fillId="0" borderId="76" xfId="538" applyNumberFormat="1" applyFont="1" applyBorder="1"/>
    <xf numFmtId="164" fontId="38" fillId="0" borderId="77" xfId="538" applyFont="1" applyBorder="1"/>
    <xf numFmtId="0" fontId="38" fillId="64" borderId="45" xfId="537" applyFont="1" applyFill="1" applyBorder="1"/>
    <xf numFmtId="172" fontId="38" fillId="64" borderId="71" xfId="538" applyNumberFormat="1" applyFont="1" applyFill="1" applyBorder="1"/>
    <xf numFmtId="172" fontId="38" fillId="64" borderId="105" xfId="538" applyNumberFormat="1" applyFont="1" applyFill="1" applyBorder="1"/>
    <xf numFmtId="38" fontId="75" fillId="36" borderId="28" xfId="335" applyNumberFormat="1" applyFont="1" applyFill="1" applyBorder="1" applyAlignment="1" applyProtection="1"/>
    <xf numFmtId="38" fontId="75" fillId="36" borderId="28" xfId="335" applyNumberFormat="1" applyFont="1" applyFill="1" applyBorder="1" applyAlignment="1">
      <alignment vertical="center"/>
    </xf>
    <xf numFmtId="0" fontId="38" fillId="0" borderId="74" xfId="537" applyFont="1" applyBorder="1" applyAlignment="1">
      <alignment horizontal="center"/>
    </xf>
    <xf numFmtId="172" fontId="38" fillId="0" borderId="77" xfId="538" applyNumberFormat="1" applyFont="1" applyBorder="1"/>
    <xf numFmtId="172" fontId="38" fillId="0" borderId="112" xfId="538" applyNumberFormat="1" applyFont="1" applyBorder="1"/>
    <xf numFmtId="38" fontId="169" fillId="47" borderId="28" xfId="335" applyNumberFormat="1" applyFont="1" applyFill="1" applyBorder="1" applyAlignment="1" applyProtection="1">
      <alignment horizontal="center" vertical="center"/>
    </xf>
    <xf numFmtId="38" fontId="169" fillId="54" borderId="0" xfId="335" applyNumberFormat="1" applyFont="1" applyFill="1" applyBorder="1" applyAlignment="1" applyProtection="1"/>
    <xf numFmtId="38" fontId="169" fillId="54" borderId="0" xfId="335" applyNumberFormat="1" applyFont="1" applyFill="1" applyBorder="1" applyAlignment="1" applyProtection="1">
      <alignment horizontal="center"/>
    </xf>
    <xf numFmtId="38" fontId="169" fillId="54" borderId="0" xfId="335" applyNumberFormat="1" applyFont="1" applyFill="1" applyBorder="1" applyAlignment="1" applyProtection="1">
      <alignment horizontal="center" vertical="center" wrapText="1"/>
    </xf>
    <xf numFmtId="38" fontId="170" fillId="0" borderId="0" xfId="335" applyNumberFormat="1" applyFont="1" applyFill="1"/>
    <xf numFmtId="38" fontId="27" fillId="0" borderId="0" xfId="335" applyNumberFormat="1" applyFont="1" applyFill="1"/>
    <xf numFmtId="0" fontId="169" fillId="47" borderId="28" xfId="335" applyNumberFormat="1" applyFont="1" applyFill="1" applyBorder="1" applyAlignment="1" applyProtection="1">
      <alignment horizontal="center"/>
    </xf>
    <xf numFmtId="38" fontId="169" fillId="47" borderId="28" xfId="335" applyNumberFormat="1" applyFont="1" applyFill="1" applyBorder="1" applyAlignment="1" applyProtection="1">
      <alignment horizontal="center" vertical="center" wrapText="1"/>
    </xf>
    <xf numFmtId="38" fontId="170" fillId="0" borderId="28" xfId="335" applyNumberFormat="1" applyFont="1" applyFill="1" applyBorder="1" applyAlignment="1" applyProtection="1">
      <alignment horizontal="left"/>
    </xf>
    <xf numFmtId="38" fontId="170" fillId="0" borderId="28" xfId="335" applyNumberFormat="1" applyFont="1" applyFill="1" applyBorder="1" applyAlignment="1" applyProtection="1">
      <alignment horizontal="right"/>
    </xf>
    <xf numFmtId="9" fontId="170" fillId="0" borderId="28" xfId="458" applyFont="1" applyFill="1" applyBorder="1" applyAlignment="1" applyProtection="1">
      <alignment horizontal="center"/>
    </xf>
    <xf numFmtId="9" fontId="27" fillId="0" borderId="0" xfId="458" applyFont="1" applyFill="1"/>
    <xf numFmtId="168" fontId="170" fillId="0" borderId="28" xfId="420" applyNumberFormat="1" applyFont="1" applyBorder="1"/>
    <xf numFmtId="38" fontId="169" fillId="0" borderId="28" xfId="335" applyNumberFormat="1" applyFont="1" applyFill="1" applyBorder="1" applyAlignment="1">
      <alignment horizontal="left"/>
    </xf>
    <xf numFmtId="38" fontId="169" fillId="0" borderId="28" xfId="335" applyNumberFormat="1" applyFont="1" applyFill="1" applyBorder="1" applyAlignment="1" applyProtection="1"/>
    <xf numFmtId="9" fontId="169" fillId="0" borderId="28" xfId="458" applyFont="1" applyFill="1" applyBorder="1" applyAlignment="1">
      <alignment horizontal="center"/>
    </xf>
    <xf numFmtId="38" fontId="169" fillId="0" borderId="28" xfId="335" applyNumberFormat="1" applyFont="1" applyFill="1" applyBorder="1" applyAlignment="1" applyProtection="1">
      <alignment horizontal="right"/>
    </xf>
    <xf numFmtId="38" fontId="169" fillId="0" borderId="0" xfId="335" applyNumberFormat="1" applyFont="1" applyFill="1" applyBorder="1" applyAlignment="1">
      <alignment horizontal="left"/>
    </xf>
    <xf numFmtId="38" fontId="169" fillId="0" borderId="0" xfId="335" applyNumberFormat="1" applyFont="1" applyFill="1" applyBorder="1" applyAlignment="1" applyProtection="1"/>
    <xf numFmtId="9" fontId="169" fillId="0" borderId="0" xfId="458" applyFont="1" applyFill="1" applyBorder="1" applyAlignment="1">
      <alignment horizontal="center"/>
    </xf>
    <xf numFmtId="38" fontId="27" fillId="0" borderId="0" xfId="335" applyNumberFormat="1" applyFont="1" applyFill="1" applyBorder="1" applyAlignment="1">
      <alignment horizontal="center"/>
    </xf>
    <xf numFmtId="38" fontId="169" fillId="0" borderId="0" xfId="335" applyNumberFormat="1" applyFont="1" applyFill="1" applyBorder="1" applyAlignment="1" applyProtection="1">
      <alignment horizontal="center"/>
    </xf>
    <xf numFmtId="38" fontId="169" fillId="0" borderId="0" xfId="335" applyNumberFormat="1" applyFont="1" applyFill="1" applyBorder="1" applyAlignment="1" applyProtection="1">
      <alignment horizontal="center" vertical="center" wrapText="1"/>
    </xf>
    <xf numFmtId="38" fontId="27" fillId="0" borderId="0" xfId="335" applyNumberFormat="1" applyFont="1" applyFill="1" applyBorder="1" applyAlignment="1" applyProtection="1">
      <alignment horizontal="center" vertical="center" wrapText="1"/>
    </xf>
    <xf numFmtId="167" fontId="170" fillId="0" borderId="28" xfId="458" applyNumberFormat="1" applyFont="1" applyFill="1" applyBorder="1" applyAlignment="1" applyProtection="1">
      <alignment horizontal="center"/>
    </xf>
    <xf numFmtId="167" fontId="169" fillId="0" borderId="28" xfId="458" applyNumberFormat="1" applyFont="1" applyFill="1" applyBorder="1" applyAlignment="1">
      <alignment horizontal="center"/>
    </xf>
    <xf numFmtId="167" fontId="169" fillId="0" borderId="0" xfId="458" applyNumberFormat="1" applyFont="1" applyFill="1" applyBorder="1" applyAlignment="1">
      <alignment horizontal="center"/>
    </xf>
    <xf numFmtId="38" fontId="27" fillId="54" borderId="0" xfId="335" applyNumberFormat="1" applyFont="1" applyFill="1" applyBorder="1" applyAlignment="1" applyProtection="1">
      <alignment horizontal="center" vertical="center" wrapText="1"/>
    </xf>
    <xf numFmtId="38" fontId="170" fillId="0" borderId="28" xfId="335" applyNumberFormat="1" applyFont="1" applyFill="1" applyBorder="1" applyProtection="1"/>
    <xf numFmtId="167" fontId="170" fillId="0" borderId="28" xfId="458" applyNumberFormat="1" applyFont="1" applyFill="1" applyBorder="1" applyProtection="1"/>
    <xf numFmtId="38" fontId="27" fillId="0" borderId="28" xfId="335" applyNumberFormat="1" applyFont="1" applyFill="1" applyBorder="1" applyProtection="1"/>
    <xf numFmtId="38" fontId="170" fillId="0" borderId="28" xfId="335" applyNumberFormat="1" applyFont="1" applyFill="1" applyBorder="1" applyAlignment="1">
      <alignment horizontal="left"/>
    </xf>
    <xf numFmtId="38" fontId="170" fillId="54" borderId="0" xfId="335" applyNumberFormat="1" applyFont="1" applyFill="1" applyBorder="1" applyAlignment="1" applyProtection="1"/>
    <xf numFmtId="38" fontId="170" fillId="0" borderId="28" xfId="335" applyNumberFormat="1" applyFont="1" applyFill="1" applyBorder="1" applyAlignment="1" applyProtection="1"/>
    <xf numFmtId="9" fontId="170" fillId="0" borderId="28" xfId="458" applyFont="1" applyFill="1" applyBorder="1" applyAlignment="1">
      <alignment horizontal="center"/>
    </xf>
    <xf numFmtId="38" fontId="170" fillId="54" borderId="0" xfId="335" applyNumberFormat="1" applyFont="1" applyFill="1" applyBorder="1" applyAlignment="1">
      <alignment horizontal="left"/>
    </xf>
    <xf numFmtId="38" fontId="170" fillId="54" borderId="0" xfId="335" applyNumberFormat="1" applyFont="1" applyFill="1" applyBorder="1" applyAlignment="1">
      <alignment horizontal="center"/>
    </xf>
    <xf numFmtId="38" fontId="27" fillId="54" borderId="0" xfId="335" applyNumberFormat="1" applyFont="1" applyFill="1" applyBorder="1" applyAlignment="1">
      <alignment horizontal="center"/>
    </xf>
    <xf numFmtId="38" fontId="170" fillId="0" borderId="0" xfId="335" applyNumberFormat="1" applyFont="1" applyFill="1" applyBorder="1" applyAlignment="1" applyProtection="1">
      <alignment horizontal="center"/>
    </xf>
    <xf numFmtId="38" fontId="170" fillId="0" borderId="0" xfId="335" applyNumberFormat="1" applyFont="1" applyFill="1" applyBorder="1"/>
    <xf numFmtId="38" fontId="170" fillId="0" borderId="0" xfId="335" applyNumberFormat="1" applyFont="1" applyFill="1" applyBorder="1" applyProtection="1"/>
    <xf numFmtId="38" fontId="27" fillId="0" borderId="0" xfId="335" applyNumberFormat="1" applyFont="1" applyFill="1" applyBorder="1" applyProtection="1"/>
    <xf numFmtId="38" fontId="170" fillId="0" borderId="28" xfId="335" applyNumberFormat="1" applyFont="1" applyFill="1" applyBorder="1"/>
    <xf numFmtId="38" fontId="170" fillId="0" borderId="0" xfId="335" applyNumberFormat="1" applyFont="1" applyFill="1" applyBorder="1" applyAlignment="1" applyProtection="1">
      <alignment horizontal="left"/>
    </xf>
    <xf numFmtId="9" fontId="170" fillId="0" borderId="0" xfId="458" applyFont="1" applyFill="1" applyBorder="1" applyAlignment="1" applyProtection="1">
      <alignment horizontal="center"/>
    </xf>
    <xf numFmtId="38" fontId="27" fillId="0" borderId="0" xfId="335" applyNumberFormat="1" applyFont="1" applyFill="1" applyBorder="1" applyAlignment="1" applyProtection="1">
      <alignment horizontal="center"/>
    </xf>
    <xf numFmtId="38" fontId="169" fillId="47" borderId="28" xfId="335" applyNumberFormat="1" applyFont="1" applyFill="1" applyBorder="1" applyAlignment="1">
      <alignment horizontal="left"/>
    </xf>
    <xf numFmtId="9" fontId="170" fillId="0" borderId="28" xfId="335" applyNumberFormat="1" applyFont="1" applyFill="1" applyBorder="1" applyAlignment="1" applyProtection="1">
      <alignment horizontal="center" vertical="center" wrapText="1"/>
    </xf>
    <xf numFmtId="9" fontId="27" fillId="0" borderId="28" xfId="458" applyFont="1" applyFill="1" applyBorder="1"/>
    <xf numFmtId="38" fontId="169" fillId="47" borderId="28" xfId="335" applyNumberFormat="1" applyFont="1" applyFill="1" applyBorder="1" applyAlignment="1" applyProtection="1">
      <alignment horizontal="center"/>
    </xf>
    <xf numFmtId="9" fontId="29" fillId="0" borderId="76" xfId="458" applyFont="1" applyFill="1" applyBorder="1" applyAlignment="1" applyProtection="1"/>
    <xf numFmtId="9" fontId="0" fillId="0" borderId="76" xfId="458" applyFont="1" applyFill="1" applyBorder="1" applyAlignment="1" applyProtection="1"/>
    <xf numFmtId="9" fontId="0" fillId="0" borderId="73" xfId="458" applyFont="1" applyFill="1" applyBorder="1" applyAlignment="1" applyProtection="1"/>
    <xf numFmtId="9" fontId="0" fillId="0" borderId="75" xfId="458" applyFont="1" applyFill="1" applyBorder="1" applyAlignment="1" applyProtection="1"/>
    <xf numFmtId="9" fontId="0" fillId="0" borderId="39" xfId="458" applyFont="1" applyFill="1" applyBorder="1" applyAlignment="1" applyProtection="1"/>
    <xf numFmtId="9" fontId="29" fillId="0" borderId="77" xfId="458" applyFont="1" applyFill="1" applyBorder="1" applyAlignment="1" applyProtection="1"/>
    <xf numFmtId="9" fontId="29" fillId="0" borderId="39" xfId="458" applyFont="1" applyFill="1" applyBorder="1" applyAlignment="1" applyProtection="1"/>
    <xf numFmtId="38" fontId="27" fillId="0" borderId="28" xfId="335" applyNumberFormat="1" applyFont="1" applyFill="1" applyBorder="1" applyAlignment="1" applyProtection="1">
      <alignment horizontal="right" vertical="center" wrapText="1"/>
    </xf>
    <xf numFmtId="9" fontId="75" fillId="0" borderId="28" xfId="335" applyNumberFormat="1" applyFont="1" applyFill="1" applyBorder="1"/>
    <xf numFmtId="167" fontId="30" fillId="0" borderId="0" xfId="458" applyNumberFormat="1"/>
    <xf numFmtId="38" fontId="30" fillId="0" borderId="0" xfId="335" applyNumberFormat="1" applyBorder="1"/>
    <xf numFmtId="38" fontId="30" fillId="0" borderId="74" xfId="335" applyNumberFormat="1" applyFill="1" applyBorder="1"/>
    <xf numFmtId="0" fontId="171" fillId="0" borderId="74" xfId="537" applyFont="1" applyBorder="1"/>
    <xf numFmtId="172" fontId="171" fillId="0" borderId="74" xfId="538" applyNumberFormat="1" applyFont="1" applyBorder="1"/>
    <xf numFmtId="38" fontId="30" fillId="0" borderId="74" xfId="335" applyNumberFormat="1" applyBorder="1"/>
    <xf numFmtId="39" fontId="30" fillId="0" borderId="74" xfId="0" applyFont="1" applyBorder="1"/>
    <xf numFmtId="0" fontId="171" fillId="0" borderId="0" xfId="537" applyFont="1"/>
    <xf numFmtId="174" fontId="59" fillId="0" borderId="0" xfId="335" applyNumberFormat="1" applyFont="1" applyFill="1" applyBorder="1" applyAlignment="1" applyProtection="1"/>
    <xf numFmtId="39" fontId="59" fillId="0" borderId="0" xfId="0" applyFont="1"/>
    <xf numFmtId="174" fontId="59" fillId="0" borderId="0" xfId="335" applyNumberFormat="1" applyFont="1" applyFill="1" applyBorder="1" applyAlignment="1" applyProtection="1">
      <alignment horizontal="left"/>
    </xf>
    <xf numFmtId="172" fontId="171" fillId="0" borderId="0" xfId="538" applyNumberFormat="1" applyFont="1"/>
    <xf numFmtId="0" fontId="161" fillId="0" borderId="0" xfId="546" applyFont="1"/>
    <xf numFmtId="0" fontId="161" fillId="36" borderId="0" xfId="546" applyFont="1" applyFill="1"/>
    <xf numFmtId="0" fontId="146" fillId="59" borderId="0" xfId="0" applyNumberFormat="1" applyFont="1" applyFill="1"/>
    <xf numFmtId="38" fontId="30" fillId="59" borderId="0" xfId="335" applyNumberFormat="1" applyFill="1"/>
    <xf numFmtId="38" fontId="146" fillId="0" borderId="0" xfId="0" applyNumberFormat="1" applyFont="1"/>
    <xf numFmtId="0" fontId="75" fillId="36" borderId="28" xfId="335" applyNumberFormat="1" applyFont="1" applyFill="1" applyBorder="1" applyAlignment="1">
      <alignment horizontal="right"/>
    </xf>
    <xf numFmtId="38" fontId="75" fillId="36" borderId="28" xfId="335" applyNumberFormat="1" applyFont="1" applyFill="1" applyBorder="1"/>
    <xf numFmtId="38" fontId="74" fillId="36" borderId="0" xfId="335" applyNumberFormat="1" applyFont="1" applyFill="1" applyBorder="1" applyAlignment="1" applyProtection="1"/>
    <xf numFmtId="37" fontId="0" fillId="0" borderId="27" xfId="0" applyNumberFormat="1" applyBorder="1" applyAlignment="1">
      <alignment horizontal="center"/>
    </xf>
    <xf numFmtId="9" fontId="29" fillId="47" borderId="105" xfId="458" applyFont="1" applyFill="1" applyBorder="1" applyAlignment="1" applyProtection="1"/>
    <xf numFmtId="9" fontId="29" fillId="0" borderId="73" xfId="458" applyFont="1" applyFill="1" applyBorder="1" applyAlignment="1" applyProtection="1"/>
    <xf numFmtId="168" fontId="0" fillId="0" borderId="39" xfId="335" applyNumberFormat="1" applyFont="1" applyFill="1" applyBorder="1" applyAlignment="1" applyProtection="1"/>
    <xf numFmtId="174" fontId="29" fillId="0" borderId="39" xfId="335" applyNumberFormat="1" applyFont="1" applyFill="1" applyBorder="1" applyAlignment="1" applyProtection="1"/>
    <xf numFmtId="9" fontId="30" fillId="0" borderId="76" xfId="458" applyFill="1" applyBorder="1" applyAlignment="1" applyProtection="1"/>
    <xf numFmtId="167" fontId="30" fillId="0" borderId="76" xfId="458" applyNumberFormat="1" applyFill="1" applyBorder="1" applyAlignment="1" applyProtection="1"/>
    <xf numFmtId="9" fontId="30" fillId="0" borderId="39" xfId="458" applyFill="1" applyBorder="1" applyAlignment="1" applyProtection="1"/>
    <xf numFmtId="167" fontId="30" fillId="0" borderId="39" xfId="458" applyNumberFormat="1" applyFill="1" applyBorder="1" applyAlignment="1" applyProtection="1"/>
    <xf numFmtId="167" fontId="0" fillId="0" borderId="105" xfId="458" applyNumberFormat="1" applyFont="1" applyFill="1" applyBorder="1" applyAlignment="1" applyProtection="1"/>
    <xf numFmtId="167" fontId="29" fillId="0" borderId="73" xfId="458" applyNumberFormat="1" applyFont="1" applyFill="1" applyBorder="1" applyAlignment="1" applyProtection="1"/>
    <xf numFmtId="9" fontId="29" fillId="0" borderId="12" xfId="458" applyFont="1" applyFill="1" applyBorder="1" applyAlignment="1" applyProtection="1"/>
    <xf numFmtId="167" fontId="29" fillId="0" borderId="12" xfId="458" applyNumberFormat="1" applyFont="1" applyFill="1" applyBorder="1" applyAlignment="1" applyProtection="1"/>
    <xf numFmtId="167" fontId="0" fillId="0" borderId="76" xfId="458" applyNumberFormat="1" applyFont="1" applyFill="1" applyBorder="1" applyAlignment="1" applyProtection="1"/>
    <xf numFmtId="37" fontId="29" fillId="0" borderId="72" xfId="0" applyNumberFormat="1" applyFont="1" applyBorder="1" applyAlignment="1">
      <alignment horizontal="center"/>
    </xf>
    <xf numFmtId="37" fontId="29" fillId="0" borderId="27" xfId="0" applyNumberFormat="1" applyFont="1" applyBorder="1" applyAlignment="1">
      <alignment horizontal="center"/>
    </xf>
    <xf numFmtId="49" fontId="29" fillId="47" borderId="73" xfId="335" applyNumberFormat="1" applyFont="1" applyFill="1" applyBorder="1" applyAlignment="1" applyProtection="1">
      <alignment horizontal="center"/>
    </xf>
    <xf numFmtId="167" fontId="0" fillId="0" borderId="73" xfId="458" applyNumberFormat="1" applyFont="1" applyFill="1" applyBorder="1" applyAlignment="1" applyProtection="1"/>
    <xf numFmtId="167" fontId="0" fillId="0" borderId="39" xfId="458" applyNumberFormat="1" applyFont="1" applyFill="1" applyBorder="1" applyAlignment="1" applyProtection="1"/>
    <xf numFmtId="9" fontId="0" fillId="0" borderId="73" xfId="0" applyNumberFormat="1" applyBorder="1"/>
    <xf numFmtId="10" fontId="0" fillId="0" borderId="39" xfId="458" applyNumberFormat="1" applyFont="1" applyFill="1" applyBorder="1" applyAlignment="1" applyProtection="1"/>
    <xf numFmtId="10" fontId="0" fillId="0" borderId="75" xfId="458" applyNumberFormat="1" applyFont="1" applyFill="1" applyBorder="1" applyAlignment="1" applyProtection="1"/>
    <xf numFmtId="10" fontId="0" fillId="0" borderId="77" xfId="458" applyNumberFormat="1" applyFont="1" applyFill="1" applyBorder="1" applyAlignment="1" applyProtection="1"/>
    <xf numFmtId="38" fontId="30" fillId="36" borderId="0" xfId="335" applyNumberFormat="1" applyFill="1"/>
    <xf numFmtId="39" fontId="29" fillId="0" borderId="21" xfId="0" applyFont="1" applyBorder="1"/>
    <xf numFmtId="37" fontId="29" fillId="0" borderId="22" xfId="0" applyNumberFormat="1" applyFont="1" applyBorder="1"/>
    <xf numFmtId="9" fontId="29" fillId="0" borderId="71" xfId="458" applyFont="1" applyFill="1" applyBorder="1" applyAlignment="1" applyProtection="1"/>
    <xf numFmtId="179" fontId="0" fillId="0" borderId="0" xfId="550" applyNumberFormat="1" applyFont="1"/>
    <xf numFmtId="0" fontId="0" fillId="0" borderId="0" xfId="0" applyNumberFormat="1"/>
    <xf numFmtId="6" fontId="0" fillId="0" borderId="0" xfId="550" applyNumberFormat="1" applyFont="1"/>
    <xf numFmtId="38" fontId="165" fillId="0" borderId="0" xfId="537" applyNumberFormat="1" applyFont="1"/>
    <xf numFmtId="0" fontId="38" fillId="48" borderId="45" xfId="537" applyFont="1" applyFill="1" applyBorder="1"/>
    <xf numFmtId="38" fontId="30" fillId="47" borderId="0" xfId="335" applyNumberFormat="1" applyFill="1"/>
    <xf numFmtId="180" fontId="0" fillId="0" borderId="73" xfId="335" applyNumberFormat="1" applyFont="1" applyFill="1" applyBorder="1" applyAlignment="1" applyProtection="1"/>
    <xf numFmtId="180" fontId="0" fillId="0" borderId="77" xfId="335" applyNumberFormat="1" applyFont="1" applyFill="1" applyBorder="1" applyAlignment="1" applyProtection="1"/>
    <xf numFmtId="180" fontId="0" fillId="0" borderId="76" xfId="335" applyNumberFormat="1" applyFont="1" applyFill="1" applyBorder="1" applyAlignment="1" applyProtection="1"/>
    <xf numFmtId="180" fontId="0" fillId="0" borderId="39" xfId="335" applyNumberFormat="1" applyFont="1" applyFill="1" applyBorder="1" applyAlignment="1" applyProtection="1"/>
    <xf numFmtId="180" fontId="0" fillId="0" borderId="0" xfId="335" applyNumberFormat="1" applyFont="1" applyFill="1" applyBorder="1" applyAlignment="1" applyProtection="1"/>
    <xf numFmtId="180" fontId="29" fillId="0" borderId="74" xfId="335" applyNumberFormat="1" applyFont="1" applyFill="1" applyBorder="1" applyAlignment="1" applyProtection="1"/>
    <xf numFmtId="180" fontId="29" fillId="0" borderId="73" xfId="335" applyNumberFormat="1" applyFont="1" applyFill="1" applyBorder="1" applyAlignment="1" applyProtection="1"/>
    <xf numFmtId="180" fontId="0" fillId="0" borderId="104" xfId="335" applyNumberFormat="1" applyFont="1" applyFill="1" applyBorder="1" applyAlignment="1" applyProtection="1"/>
    <xf numFmtId="180" fontId="29" fillId="0" borderId="76" xfId="335" applyNumberFormat="1" applyFont="1" applyFill="1" applyBorder="1" applyAlignment="1" applyProtection="1"/>
    <xf numFmtId="180" fontId="0" fillId="0" borderId="0" xfId="0" applyNumberFormat="1"/>
    <xf numFmtId="180" fontId="0" fillId="0" borderId="76" xfId="0" applyNumberFormat="1" applyBorder="1"/>
    <xf numFmtId="180" fontId="0" fillId="0" borderId="27" xfId="335" applyNumberFormat="1" applyFont="1" applyFill="1" applyBorder="1" applyAlignment="1" applyProtection="1"/>
    <xf numFmtId="180" fontId="0" fillId="0" borderId="20" xfId="335" applyNumberFormat="1" applyFont="1" applyFill="1" applyBorder="1" applyAlignment="1" applyProtection="1"/>
    <xf numFmtId="180" fontId="29" fillId="0" borderId="72" xfId="335" applyNumberFormat="1" applyFont="1" applyFill="1" applyBorder="1" applyAlignment="1" applyProtection="1"/>
    <xf numFmtId="180" fontId="29" fillId="0" borderId="12" xfId="335" applyNumberFormat="1" applyFont="1" applyFill="1" applyBorder="1" applyAlignment="1" applyProtection="1"/>
    <xf numFmtId="180" fontId="29" fillId="0" borderId="27" xfId="335" applyNumberFormat="1" applyFont="1" applyFill="1" applyBorder="1" applyAlignment="1" applyProtection="1"/>
    <xf numFmtId="180" fontId="29" fillId="47" borderId="39" xfId="335" applyNumberFormat="1" applyFont="1" applyFill="1" applyBorder="1" applyAlignment="1" applyProtection="1"/>
    <xf numFmtId="180" fontId="29" fillId="47" borderId="104" xfId="335" applyNumberFormat="1" applyFont="1" applyFill="1" applyBorder="1" applyAlignment="1" applyProtection="1"/>
    <xf numFmtId="180" fontId="0" fillId="0" borderId="73" xfId="0" applyNumberFormat="1" applyBorder="1" applyAlignment="1">
      <alignment horizontal="right"/>
    </xf>
    <xf numFmtId="180" fontId="0" fillId="0" borderId="76" xfId="0" applyNumberFormat="1" applyBorder="1" applyAlignment="1">
      <alignment horizontal="right"/>
    </xf>
    <xf numFmtId="180" fontId="0" fillId="0" borderId="76" xfId="335" applyNumberFormat="1" applyFont="1" applyFill="1" applyBorder="1" applyAlignment="1" applyProtection="1">
      <alignment horizontal="right"/>
    </xf>
    <xf numFmtId="180" fontId="0" fillId="0" borderId="39" xfId="335" applyNumberFormat="1" applyFont="1" applyFill="1" applyBorder="1" applyAlignment="1" applyProtection="1">
      <alignment horizontal="right"/>
    </xf>
    <xf numFmtId="180" fontId="0" fillId="0" borderId="72" xfId="335" applyNumberFormat="1" applyFont="1" applyFill="1" applyBorder="1" applyAlignment="1" applyProtection="1"/>
    <xf numFmtId="180" fontId="29" fillId="47" borderId="22" xfId="335" applyNumberFormat="1" applyFont="1" applyFill="1" applyBorder="1" applyAlignment="1" applyProtection="1"/>
    <xf numFmtId="180" fontId="29" fillId="47" borderId="12" xfId="335" applyNumberFormat="1" applyFont="1" applyFill="1" applyBorder="1" applyAlignment="1" applyProtection="1"/>
    <xf numFmtId="180" fontId="28" fillId="0" borderId="0" xfId="0" applyNumberFormat="1" applyFont="1"/>
    <xf numFmtId="180" fontId="26" fillId="70" borderId="22" xfId="0" applyNumberFormat="1" applyFont="1" applyFill="1" applyBorder="1"/>
    <xf numFmtId="180" fontId="28" fillId="0" borderId="0" xfId="0" applyNumberFormat="1" applyFont="1" applyAlignment="1">
      <alignment horizontal="right"/>
    </xf>
    <xf numFmtId="180" fontId="28" fillId="0" borderId="76" xfId="0" applyNumberFormat="1" applyFont="1" applyBorder="1"/>
    <xf numFmtId="180" fontId="26" fillId="70" borderId="101" xfId="0" applyNumberFormat="1" applyFont="1" applyFill="1" applyBorder="1"/>
    <xf numFmtId="180" fontId="26" fillId="70" borderId="12" xfId="0" applyNumberFormat="1" applyFont="1" applyFill="1" applyBorder="1"/>
    <xf numFmtId="180" fontId="26" fillId="70" borderId="19" xfId="0" applyNumberFormat="1" applyFont="1" applyFill="1" applyBorder="1"/>
    <xf numFmtId="180" fontId="28" fillId="0" borderId="14" xfId="0" applyNumberFormat="1" applyFont="1" applyBorder="1"/>
    <xf numFmtId="180" fontId="28" fillId="0" borderId="24" xfId="0" applyNumberFormat="1" applyFont="1" applyBorder="1"/>
    <xf numFmtId="38" fontId="74" fillId="0" borderId="60" xfId="335" applyNumberFormat="1" applyFont="1" applyFill="1" applyBorder="1" applyAlignment="1"/>
    <xf numFmtId="0" fontId="161" fillId="0" borderId="0" xfId="551" applyFont="1"/>
    <xf numFmtId="0" fontId="75" fillId="0" borderId="28" xfId="335" applyNumberFormat="1" applyFont="1" applyFill="1" applyBorder="1" applyAlignment="1">
      <alignment horizontal="right" vertical="center"/>
    </xf>
    <xf numFmtId="3" fontId="76" fillId="0" borderId="28" xfId="401" applyNumberFormat="1" applyFont="1" applyBorder="1" applyAlignment="1">
      <alignment vertical="center"/>
    </xf>
    <xf numFmtId="39" fontId="77" fillId="0" borderId="37" xfId="0" applyFont="1" applyBorder="1"/>
    <xf numFmtId="0" fontId="75" fillId="0" borderId="48" xfId="335" applyNumberFormat="1" applyFont="1" applyFill="1" applyBorder="1" applyAlignment="1">
      <alignment horizontal="right" vertical="center"/>
    </xf>
    <xf numFmtId="38" fontId="74" fillId="0" borderId="28" xfId="335" applyNumberFormat="1" applyFont="1" applyFill="1" applyBorder="1" applyAlignment="1">
      <alignment vertical="center"/>
    </xf>
    <xf numFmtId="38" fontId="75" fillId="0" borderId="28" xfId="335" applyNumberFormat="1" applyFont="1" applyFill="1" applyBorder="1" applyAlignment="1">
      <alignment horizontal="left" vertical="center"/>
    </xf>
    <xf numFmtId="38" fontId="74" fillId="0" borderId="28" xfId="335" applyNumberFormat="1" applyFont="1" applyFill="1" applyBorder="1" applyAlignment="1"/>
    <xf numFmtId="168" fontId="75" fillId="0" borderId="33" xfId="360" applyNumberFormat="1" applyFont="1" applyFill="1" applyBorder="1" applyAlignment="1" applyProtection="1">
      <alignment horizontal="right"/>
    </xf>
    <xf numFmtId="38" fontId="30" fillId="0" borderId="28" xfId="335" applyNumberFormat="1" applyFill="1" applyBorder="1" applyAlignment="1" applyProtection="1">
      <alignment horizontal="right"/>
    </xf>
    <xf numFmtId="38" fontId="75" fillId="47" borderId="28" xfId="335" applyNumberFormat="1" applyFont="1" applyFill="1" applyBorder="1" applyAlignment="1" applyProtection="1"/>
    <xf numFmtId="40" fontId="30" fillId="0" borderId="0" xfId="335"/>
    <xf numFmtId="0" fontId="161" fillId="0" borderId="0" xfId="553" applyFont="1"/>
    <xf numFmtId="172" fontId="161" fillId="0" borderId="0" xfId="554" applyNumberFormat="1" applyFont="1"/>
    <xf numFmtId="0" fontId="146" fillId="62" borderId="0" xfId="0" applyNumberFormat="1" applyFont="1" applyFill="1"/>
    <xf numFmtId="38" fontId="30" fillId="62" borderId="0" xfId="335" applyNumberFormat="1" applyFill="1"/>
    <xf numFmtId="0" fontId="153" fillId="0" borderId="0" xfId="0" applyNumberFormat="1" applyFont="1" applyAlignment="1">
      <alignment horizontal="center"/>
    </xf>
    <xf numFmtId="167" fontId="0" fillId="0" borderId="76" xfId="0" applyNumberFormat="1" applyBorder="1"/>
    <xf numFmtId="38" fontId="73" fillId="54" borderId="0" xfId="335" applyNumberFormat="1" applyFont="1" applyFill="1" applyBorder="1" applyAlignment="1" applyProtection="1">
      <alignment horizontal="center"/>
    </xf>
    <xf numFmtId="38" fontId="74" fillId="53" borderId="29" xfId="335" applyNumberFormat="1" applyFont="1" applyFill="1" applyBorder="1" applyAlignment="1" applyProtection="1">
      <alignment horizontal="center" vertical="center"/>
    </xf>
    <xf numFmtId="38" fontId="74" fillId="53" borderId="52" xfId="335" applyNumberFormat="1" applyFont="1" applyFill="1" applyBorder="1" applyAlignment="1" applyProtection="1">
      <alignment horizontal="center" vertical="center"/>
    </xf>
    <xf numFmtId="38" fontId="74" fillId="53" borderId="62" xfId="335" applyNumberFormat="1" applyFont="1" applyFill="1" applyBorder="1" applyAlignment="1" applyProtection="1">
      <alignment horizontal="center" vertical="center"/>
    </xf>
    <xf numFmtId="38" fontId="74" fillId="53" borderId="78" xfId="335" applyNumberFormat="1" applyFont="1" applyFill="1" applyBorder="1" applyAlignment="1" applyProtection="1">
      <alignment horizontal="center" vertical="center"/>
    </xf>
    <xf numFmtId="38" fontId="74" fillId="0" borderId="0" xfId="335" applyNumberFormat="1" applyFont="1" applyFill="1" applyBorder="1" applyAlignment="1" applyProtection="1">
      <alignment horizontal="center"/>
    </xf>
    <xf numFmtId="0" fontId="74" fillId="0" borderId="48" xfId="335" applyNumberFormat="1" applyFont="1" applyFill="1" applyBorder="1" applyAlignment="1">
      <alignment horizontal="left" vertical="center"/>
    </xf>
    <xf numFmtId="0" fontId="74" fillId="0" borderId="37" xfId="335" applyNumberFormat="1" applyFont="1" applyFill="1" applyBorder="1" applyAlignment="1">
      <alignment horizontal="left" vertical="center"/>
    </xf>
    <xf numFmtId="38" fontId="74" fillId="54" borderId="0" xfId="335" applyNumberFormat="1" applyFont="1" applyFill="1" applyBorder="1" applyAlignment="1" applyProtection="1">
      <alignment horizontal="center"/>
    </xf>
    <xf numFmtId="38" fontId="74" fillId="0" borderId="48" xfId="335" applyNumberFormat="1" applyFont="1" applyFill="1" applyBorder="1" applyAlignment="1">
      <alignment horizontal="center"/>
    </xf>
    <xf numFmtId="38" fontId="74" fillId="0" borderId="37" xfId="335" applyNumberFormat="1" applyFont="1" applyFill="1" applyBorder="1" applyAlignment="1">
      <alignment horizontal="center"/>
    </xf>
    <xf numFmtId="38" fontId="74" fillId="0" borderId="48" xfId="335" applyNumberFormat="1" applyFont="1" applyFill="1" applyBorder="1" applyAlignment="1">
      <alignment horizontal="left"/>
    </xf>
    <xf numFmtId="38" fontId="74" fillId="0" borderId="37" xfId="335" applyNumberFormat="1" applyFont="1" applyFill="1" applyBorder="1" applyAlignment="1">
      <alignment horizontal="left"/>
    </xf>
    <xf numFmtId="0" fontId="74" fillId="0" borderId="48" xfId="335" applyNumberFormat="1" applyFont="1" applyFill="1" applyBorder="1" applyAlignment="1">
      <alignment horizontal="left"/>
    </xf>
    <xf numFmtId="0" fontId="74" fillId="0" borderId="37" xfId="335" applyNumberFormat="1" applyFont="1" applyFill="1" applyBorder="1" applyAlignment="1">
      <alignment horizontal="left"/>
    </xf>
    <xf numFmtId="38" fontId="75" fillId="54" borderId="0" xfId="335" applyNumberFormat="1" applyFont="1" applyFill="1" applyBorder="1" applyAlignment="1">
      <alignment horizontal="center"/>
    </xf>
    <xf numFmtId="38" fontId="74" fillId="54" borderId="0" xfId="335" applyNumberFormat="1" applyFont="1" applyFill="1" applyBorder="1" applyAlignment="1" applyProtection="1">
      <alignment vertical="center" wrapText="1"/>
    </xf>
    <xf numFmtId="38" fontId="74" fillId="54" borderId="0" xfId="335" applyNumberFormat="1" applyFont="1" applyFill="1" applyBorder="1" applyAlignment="1">
      <alignment horizontal="center"/>
    </xf>
    <xf numFmtId="38" fontId="74" fillId="53" borderId="48" xfId="335" applyNumberFormat="1" applyFont="1" applyFill="1" applyBorder="1" applyAlignment="1">
      <alignment horizontal="left"/>
    </xf>
    <xf numFmtId="38" fontId="74" fillId="53" borderId="37" xfId="335" applyNumberFormat="1" applyFont="1" applyFill="1" applyBorder="1" applyAlignment="1">
      <alignment horizontal="left"/>
    </xf>
    <xf numFmtId="168" fontId="74" fillId="55" borderId="28" xfId="348" applyNumberFormat="1" applyFont="1" applyFill="1" applyBorder="1" applyAlignment="1" applyProtection="1">
      <alignment horizontal="center" vertical="center" wrapText="1"/>
    </xf>
    <xf numFmtId="168" fontId="74" fillId="54" borderId="30" xfId="420" applyNumberFormat="1" applyFont="1" applyFill="1" applyBorder="1" applyAlignment="1">
      <alignment horizontal="center"/>
    </xf>
    <xf numFmtId="168" fontId="74" fillId="54" borderId="0" xfId="420" applyNumberFormat="1" applyFont="1" applyFill="1" applyAlignment="1">
      <alignment horizontal="center"/>
    </xf>
    <xf numFmtId="39" fontId="29" fillId="0" borderId="0" xfId="0" applyFont="1" applyAlignment="1">
      <alignment horizontal="center"/>
    </xf>
    <xf numFmtId="168" fontId="157" fillId="43" borderId="28" xfId="348" applyNumberFormat="1" applyFont="1" applyFill="1" applyBorder="1" applyAlignment="1" applyProtection="1">
      <alignment horizontal="center" vertical="center" wrapText="1"/>
    </xf>
    <xf numFmtId="168" fontId="115" fillId="71" borderId="21" xfId="420" applyNumberFormat="1" applyFont="1" applyFill="1" applyBorder="1" applyAlignment="1">
      <alignment horizontal="center"/>
    </xf>
    <xf numFmtId="168" fontId="115" fillId="71" borderId="22" xfId="420" applyNumberFormat="1" applyFont="1" applyFill="1" applyBorder="1" applyAlignment="1">
      <alignment horizontal="center"/>
    </xf>
    <xf numFmtId="38" fontId="74" fillId="53" borderId="28" xfId="335" applyNumberFormat="1" applyFont="1" applyFill="1" applyBorder="1" applyAlignment="1" applyProtection="1">
      <alignment horizontal="center" vertical="center"/>
    </xf>
    <xf numFmtId="38" fontId="74" fillId="54" borderId="0" xfId="335" applyNumberFormat="1" applyFont="1" applyFill="1" applyBorder="1" applyAlignment="1" applyProtection="1">
      <alignment horizontal="center" vertical="top"/>
    </xf>
    <xf numFmtId="167" fontId="30" fillId="47" borderId="73" xfId="458" applyNumberFormat="1" applyFill="1" applyBorder="1" applyAlignment="1">
      <alignment horizontal="center" vertical="center"/>
    </xf>
    <xf numFmtId="167" fontId="30" fillId="47" borderId="39" xfId="458" applyNumberFormat="1" applyFill="1" applyBorder="1" applyAlignment="1">
      <alignment horizontal="center" vertical="center"/>
    </xf>
    <xf numFmtId="10" fontId="30" fillId="47" borderId="73" xfId="458" applyNumberFormat="1" applyFill="1" applyBorder="1" applyAlignment="1">
      <alignment horizontal="center" vertical="center"/>
    </xf>
    <xf numFmtId="10" fontId="30" fillId="47" borderId="39" xfId="458" applyNumberFormat="1" applyFill="1" applyBorder="1" applyAlignment="1">
      <alignment horizontal="center" vertical="center"/>
    </xf>
    <xf numFmtId="10" fontId="30" fillId="45" borderId="106" xfId="458" applyNumberFormat="1" applyFill="1" applyBorder="1" applyAlignment="1">
      <alignment horizontal="center" vertical="center"/>
    </xf>
    <xf numFmtId="10" fontId="30" fillId="45" borderId="107" xfId="458" applyNumberFormat="1" applyFill="1" applyBorder="1" applyAlignment="1">
      <alignment horizontal="center" vertical="center"/>
    </xf>
    <xf numFmtId="0" fontId="158" fillId="0" borderId="0" xfId="390" applyFont="1" applyAlignment="1">
      <alignment horizontal="center"/>
    </xf>
    <xf numFmtId="0" fontId="142" fillId="45" borderId="0" xfId="390" applyFont="1" applyFill="1" applyAlignment="1">
      <alignment horizontal="center"/>
    </xf>
    <xf numFmtId="0" fontId="123" fillId="45" borderId="0" xfId="390" applyFont="1" applyFill="1" applyAlignment="1">
      <alignment horizontal="center" textRotation="90"/>
    </xf>
    <xf numFmtId="10" fontId="30" fillId="36" borderId="73" xfId="458" applyNumberFormat="1" applyFill="1" applyBorder="1" applyAlignment="1">
      <alignment horizontal="center" vertical="center"/>
    </xf>
    <xf numFmtId="10" fontId="30" fillId="36" borderId="39" xfId="458" applyNumberFormat="1" applyFill="1" applyBorder="1" applyAlignment="1">
      <alignment horizontal="center" vertical="center"/>
    </xf>
    <xf numFmtId="39" fontId="91" fillId="0" borderId="48" xfId="0" applyFont="1" applyBorder="1" applyAlignment="1">
      <alignment horizontal="center" wrapText="1"/>
    </xf>
    <xf numFmtId="39" fontId="91" fillId="0" borderId="60" xfId="0" applyFont="1" applyBorder="1" applyAlignment="1">
      <alignment horizontal="center" wrapText="1"/>
    </xf>
    <xf numFmtId="39" fontId="91" fillId="0" borderId="37" xfId="0" applyFont="1" applyBorder="1" applyAlignment="1">
      <alignment horizontal="center" wrapText="1"/>
    </xf>
    <xf numFmtId="39" fontId="114" fillId="0" borderId="53" xfId="0" applyFont="1" applyBorder="1" applyAlignment="1">
      <alignment horizontal="center" vertical="center" wrapText="1"/>
    </xf>
    <xf numFmtId="39" fontId="114" fillId="0" borderId="33" xfId="0" applyFont="1" applyBorder="1" applyAlignment="1">
      <alignment horizontal="center" vertical="center" wrapText="1"/>
    </xf>
    <xf numFmtId="39" fontId="114" fillId="0" borderId="63" xfId="0" applyFont="1" applyBorder="1" applyAlignment="1">
      <alignment horizontal="center" vertical="center" wrapText="1"/>
    </xf>
    <xf numFmtId="10" fontId="137" fillId="35" borderId="28" xfId="0" applyNumberFormat="1" applyFont="1" applyFill="1" applyBorder="1" applyAlignment="1">
      <alignment horizontal="center" wrapText="1"/>
    </xf>
    <xf numFmtId="0" fontId="55" fillId="35" borderId="48" xfId="383" applyFont="1" applyFill="1" applyBorder="1" applyAlignment="1" applyProtection="1">
      <alignment horizontal="center"/>
      <protection hidden="1"/>
    </xf>
    <xf numFmtId="0" fontId="55" fillId="35" borderId="60" xfId="383" applyFont="1" applyFill="1" applyBorder="1" applyAlignment="1" applyProtection="1">
      <alignment horizontal="center"/>
      <protection hidden="1"/>
    </xf>
    <xf numFmtId="0" fontId="55" fillId="35" borderId="37" xfId="383" applyFont="1" applyFill="1" applyBorder="1" applyAlignment="1" applyProtection="1">
      <alignment horizontal="center"/>
      <protection hidden="1"/>
    </xf>
    <xf numFmtId="39" fontId="138" fillId="0" borderId="28" xfId="0" applyFont="1" applyBorder="1" applyAlignment="1">
      <alignment horizontal="center" vertical="center" wrapText="1" readingOrder="1"/>
    </xf>
    <xf numFmtId="39" fontId="138" fillId="0" borderId="48" xfId="0" applyFont="1" applyBorder="1" applyAlignment="1">
      <alignment horizontal="center" vertical="center" wrapText="1" readingOrder="1"/>
    </xf>
    <xf numFmtId="39" fontId="138" fillId="0" borderId="60" xfId="0" applyFont="1" applyBorder="1" applyAlignment="1">
      <alignment horizontal="center" vertical="center" wrapText="1" readingOrder="1"/>
    </xf>
    <xf numFmtId="39" fontId="138" fillId="0" borderId="37" xfId="0" applyFont="1" applyBorder="1" applyAlignment="1">
      <alignment horizontal="center" vertical="center" wrapText="1" readingOrder="1"/>
    </xf>
    <xf numFmtId="39" fontId="62" fillId="35" borderId="48" xfId="0" applyFont="1" applyFill="1" applyBorder="1" applyAlignment="1">
      <alignment horizontal="center" vertical="center"/>
    </xf>
    <xf numFmtId="39" fontId="62" fillId="35" borderId="60" xfId="0" applyFont="1" applyFill="1" applyBorder="1" applyAlignment="1">
      <alignment horizontal="center" vertical="center"/>
    </xf>
    <xf numFmtId="39" fontId="54" fillId="0" borderId="72" xfId="0" applyFont="1" applyBorder="1" applyAlignment="1">
      <alignment horizontal="center"/>
    </xf>
    <xf numFmtId="39" fontId="54" fillId="0" borderId="74" xfId="0" applyFont="1" applyBorder="1" applyAlignment="1">
      <alignment horizontal="center"/>
    </xf>
    <xf numFmtId="39" fontId="54" fillId="0" borderId="22" xfId="0" applyFont="1" applyBorder="1" applyAlignment="1">
      <alignment horizontal="center"/>
    </xf>
    <xf numFmtId="39" fontId="54" fillId="0" borderId="71" xfId="0" applyFont="1" applyBorder="1" applyAlignment="1">
      <alignment horizontal="center"/>
    </xf>
    <xf numFmtId="39" fontId="117" fillId="0" borderId="28" xfId="0" applyFont="1" applyBorder="1" applyAlignment="1">
      <alignment horizontal="center" wrapText="1" readingOrder="1"/>
    </xf>
    <xf numFmtId="10" fontId="113" fillId="35" borderId="28" xfId="0" applyNumberFormat="1" applyFont="1" applyFill="1" applyBorder="1" applyAlignment="1">
      <alignment horizontal="center" wrapText="1"/>
    </xf>
    <xf numFmtId="39" fontId="117" fillId="0" borderId="48" xfId="0" applyFont="1" applyBorder="1" applyAlignment="1">
      <alignment horizontal="left" vertical="center" wrapText="1" readingOrder="1"/>
    </xf>
    <xf numFmtId="39" fontId="117" fillId="0" borderId="60" xfId="0" applyFont="1" applyBorder="1" applyAlignment="1">
      <alignment horizontal="left" vertical="center" wrapText="1" readingOrder="1"/>
    </xf>
    <xf numFmtId="39" fontId="117" fillId="0" borderId="37" xfId="0" applyFont="1" applyBorder="1" applyAlignment="1">
      <alignment horizontal="left" vertical="center" wrapText="1" readingOrder="1"/>
    </xf>
    <xf numFmtId="39" fontId="159" fillId="0" borderId="48" xfId="0" applyFont="1" applyBorder="1" applyAlignment="1">
      <alignment horizontal="left" vertical="center" wrapText="1" readingOrder="1"/>
    </xf>
    <xf numFmtId="39" fontId="159" fillId="0" borderId="60" xfId="0" applyFont="1" applyBorder="1" applyAlignment="1">
      <alignment horizontal="left" vertical="center" wrapText="1" readingOrder="1"/>
    </xf>
    <xf numFmtId="39" fontId="159" fillId="0" borderId="37" xfId="0" applyFont="1" applyBorder="1" applyAlignment="1">
      <alignment horizontal="left" vertical="center" wrapText="1" readingOrder="1"/>
    </xf>
    <xf numFmtId="0" fontId="54" fillId="35" borderId="28" xfId="0" applyNumberFormat="1" applyFont="1" applyFill="1" applyBorder="1" applyAlignment="1">
      <alignment horizontal="center" wrapText="1"/>
    </xf>
    <xf numFmtId="0" fontId="56" fillId="35" borderId="28" xfId="0" applyNumberFormat="1" applyFont="1" applyFill="1" applyBorder="1" applyAlignment="1">
      <alignment horizontal="center" wrapText="1"/>
    </xf>
    <xf numFmtId="39" fontId="159" fillId="0" borderId="28" xfId="0" applyFont="1" applyBorder="1" applyAlignment="1">
      <alignment horizontal="center" wrapText="1" readingOrder="1"/>
    </xf>
    <xf numFmtId="17" fontId="0" fillId="0" borderId="0" xfId="0" applyNumberFormat="1" applyAlignment="1">
      <alignment horizontal="center"/>
    </xf>
    <xf numFmtId="39" fontId="26" fillId="0" borderId="28" xfId="0" applyFont="1" applyBorder="1" applyAlignment="1">
      <alignment horizontal="center" textRotation="90" wrapText="1"/>
    </xf>
    <xf numFmtId="39" fontId="0" fillId="0" borderId="28" xfId="0" applyBorder="1" applyAlignment="1">
      <alignment horizontal="center"/>
    </xf>
    <xf numFmtId="39" fontId="113" fillId="0" borderId="48" xfId="0" applyFont="1" applyBorder="1" applyAlignment="1">
      <alignment horizontal="left" vertical="center" wrapText="1" readingOrder="1"/>
    </xf>
    <xf numFmtId="39" fontId="113" fillId="0" borderId="60" xfId="0" applyFont="1" applyBorder="1" applyAlignment="1">
      <alignment horizontal="left" vertical="center" wrapText="1" readingOrder="1"/>
    </xf>
    <xf numFmtId="39" fontId="113" fillId="0" borderId="37" xfId="0" applyFont="1" applyBorder="1" applyAlignment="1">
      <alignment horizontal="left" vertical="center" wrapText="1" readingOrder="1"/>
    </xf>
    <xf numFmtId="39" fontId="81" fillId="0" borderId="28" xfId="399" applyFont="1" applyBorder="1" applyAlignment="1">
      <alignment horizontal="center"/>
    </xf>
    <xf numFmtId="168" fontId="84" fillId="64" borderId="30" xfId="420" applyNumberFormat="1" applyFont="1" applyFill="1" applyBorder="1" applyAlignment="1">
      <alignment horizontal="center"/>
    </xf>
    <xf numFmtId="168" fontId="84" fillId="64" borderId="0" xfId="420" applyNumberFormat="1" applyFont="1" applyFill="1" applyAlignment="1">
      <alignment horizontal="center"/>
    </xf>
    <xf numFmtId="168" fontId="74" fillId="0" borderId="28" xfId="348" applyNumberFormat="1" applyFont="1" applyFill="1" applyBorder="1" applyAlignment="1" applyProtection="1">
      <alignment horizontal="center" vertical="center" wrapText="1"/>
    </xf>
    <xf numFmtId="38" fontId="90" fillId="36" borderId="28" xfId="335" applyNumberFormat="1" applyFont="1" applyFill="1" applyBorder="1" applyAlignment="1">
      <alignment horizontal="center"/>
    </xf>
    <xf numFmtId="168" fontId="116" fillId="0" borderId="53" xfId="447" applyNumberFormat="1" applyFont="1" applyBorder="1" applyAlignment="1">
      <alignment horizontal="center"/>
    </xf>
    <xf numFmtId="168" fontId="116" fillId="0" borderId="63" xfId="447" applyNumberFormat="1" applyFont="1" applyBorder="1" applyAlignment="1">
      <alignment horizontal="center"/>
    </xf>
    <xf numFmtId="39" fontId="63" fillId="0" borderId="0" xfId="0" applyFont="1" applyAlignment="1">
      <alignment horizontal="left" wrapText="1"/>
    </xf>
    <xf numFmtId="39" fontId="70" fillId="0" borderId="0" xfId="0" applyFont="1" applyAlignment="1">
      <alignment horizontal="left" wrapText="1"/>
    </xf>
    <xf numFmtId="39" fontId="70" fillId="36" borderId="53" xfId="0" applyFont="1" applyFill="1" applyBorder="1" applyAlignment="1">
      <alignment horizontal="center" vertical="center" wrapText="1"/>
    </xf>
    <xf numFmtId="39" fontId="70" fillId="36" borderId="33" xfId="0" applyFont="1" applyFill="1" applyBorder="1" applyAlignment="1">
      <alignment horizontal="center" vertical="center" wrapText="1"/>
    </xf>
    <xf numFmtId="39" fontId="70" fillId="36" borderId="53" xfId="0" applyFont="1" applyFill="1" applyBorder="1" applyAlignment="1">
      <alignment horizontal="center" wrapText="1"/>
    </xf>
    <xf numFmtId="39" fontId="70" fillId="36" borderId="33" xfId="0" applyFont="1" applyFill="1" applyBorder="1" applyAlignment="1">
      <alignment horizontal="center" wrapText="1"/>
    </xf>
    <xf numFmtId="39" fontId="63" fillId="0" borderId="30" xfId="0" applyFont="1" applyBorder="1" applyAlignment="1">
      <alignment horizontal="center"/>
    </xf>
    <xf numFmtId="39" fontId="63" fillId="0" borderId="0" xfId="0" applyFont="1" applyAlignment="1">
      <alignment horizontal="center"/>
    </xf>
    <xf numFmtId="39" fontId="63" fillId="36" borderId="53" xfId="0" applyFont="1" applyFill="1" applyBorder="1" applyAlignment="1">
      <alignment horizontal="center" vertical="center" wrapText="1"/>
    </xf>
    <xf numFmtId="39" fontId="63" fillId="36" borderId="33" xfId="0" applyFont="1" applyFill="1" applyBorder="1" applyAlignment="1">
      <alignment horizontal="center" vertical="center" wrapText="1"/>
    </xf>
    <xf numFmtId="39" fontId="63" fillId="36" borderId="53" xfId="0" applyFont="1" applyFill="1" applyBorder="1" applyAlignment="1">
      <alignment horizontal="center" wrapText="1"/>
    </xf>
    <xf numFmtId="39" fontId="63" fillId="36" borderId="33" xfId="0" applyFont="1" applyFill="1" applyBorder="1" applyAlignment="1">
      <alignment horizontal="center" wrapText="1"/>
    </xf>
    <xf numFmtId="9" fontId="30" fillId="47" borderId="73" xfId="458" applyFill="1" applyBorder="1" applyAlignment="1">
      <alignment horizontal="center" vertical="center"/>
    </xf>
    <xf numFmtId="9" fontId="30" fillId="47" borderId="39" xfId="458" applyFill="1" applyBorder="1" applyAlignment="1">
      <alignment horizontal="center" vertical="center"/>
    </xf>
    <xf numFmtId="10" fontId="121" fillId="48" borderId="73" xfId="458" applyNumberFormat="1" applyFont="1" applyFill="1" applyBorder="1" applyAlignment="1">
      <alignment horizontal="center" vertical="center"/>
    </xf>
    <xf numFmtId="10" fontId="121" fillId="48" borderId="39" xfId="458" applyNumberFormat="1" applyFont="1" applyFill="1" applyBorder="1" applyAlignment="1">
      <alignment horizontal="center" vertical="center"/>
    </xf>
    <xf numFmtId="38" fontId="74" fillId="54" borderId="28" xfId="335" applyNumberFormat="1" applyFont="1" applyFill="1" applyBorder="1" applyAlignment="1" applyProtection="1">
      <alignment horizontal="center"/>
    </xf>
    <xf numFmtId="39" fontId="152" fillId="0" borderId="0" xfId="0" applyFont="1" applyAlignment="1">
      <alignment horizontal="left"/>
    </xf>
    <xf numFmtId="39" fontId="154" fillId="0" borderId="0" xfId="0" applyFont="1" applyAlignment="1">
      <alignment horizontal="left"/>
    </xf>
    <xf numFmtId="9" fontId="162" fillId="0" borderId="74" xfId="458" applyFont="1" applyFill="1" applyBorder="1" applyAlignment="1" applyProtection="1">
      <alignment horizontal="right"/>
    </xf>
    <xf numFmtId="9" fontId="162" fillId="0" borderId="75" xfId="458" applyFont="1" applyFill="1" applyBorder="1" applyAlignment="1" applyProtection="1">
      <alignment horizontal="right"/>
    </xf>
    <xf numFmtId="9" fontId="162" fillId="0" borderId="0" xfId="458" applyFont="1" applyFill="1" applyBorder="1" applyAlignment="1" applyProtection="1">
      <alignment horizontal="right"/>
    </xf>
    <xf numFmtId="9" fontId="162" fillId="0" borderId="77" xfId="458" applyFont="1" applyFill="1" applyBorder="1" applyAlignment="1" applyProtection="1">
      <alignment horizontal="right"/>
    </xf>
    <xf numFmtId="39" fontId="168" fillId="47" borderId="21" xfId="0" applyFont="1" applyFill="1" applyBorder="1" applyAlignment="1">
      <alignment horizontal="center"/>
    </xf>
    <xf numFmtId="39" fontId="168" fillId="47" borderId="22" xfId="0" applyFont="1" applyFill="1" applyBorder="1" applyAlignment="1">
      <alignment horizontal="center"/>
    </xf>
    <xf numFmtId="39" fontId="168" fillId="47" borderId="71" xfId="0" applyFont="1" applyFill="1" applyBorder="1" applyAlignment="1">
      <alignment horizontal="center"/>
    </xf>
    <xf numFmtId="174" fontId="150" fillId="0" borderId="0" xfId="335" applyNumberFormat="1" applyFont="1" applyFill="1" applyBorder="1" applyAlignment="1" applyProtection="1">
      <alignment horizontal="left" vertical="top"/>
    </xf>
    <xf numFmtId="39" fontId="162" fillId="47" borderId="21" xfId="0" applyFont="1" applyFill="1" applyBorder="1" applyAlignment="1">
      <alignment horizontal="center"/>
    </xf>
    <xf numFmtId="39" fontId="162" fillId="47" borderId="22" xfId="0" applyFont="1" applyFill="1" applyBorder="1" applyAlignment="1">
      <alignment horizontal="center"/>
    </xf>
    <xf numFmtId="39" fontId="162" fillId="47" borderId="71" xfId="0" applyFont="1" applyFill="1" applyBorder="1" applyAlignment="1">
      <alignment horizontal="center"/>
    </xf>
    <xf numFmtId="39" fontId="26" fillId="0" borderId="0" xfId="0" applyFont="1" applyAlignment="1">
      <alignment horizontal="left"/>
    </xf>
    <xf numFmtId="0" fontId="38" fillId="0" borderId="72" xfId="537" applyFont="1" applyBorder="1" applyAlignment="1">
      <alignment horizontal="center"/>
    </xf>
    <xf numFmtId="0" fontId="38" fillId="0" borderId="74" xfId="537" applyFont="1" applyBorder="1" applyAlignment="1">
      <alignment horizontal="center"/>
    </xf>
    <xf numFmtId="0" fontId="38" fillId="0" borderId="75" xfId="537" applyFont="1" applyBorder="1" applyAlignment="1">
      <alignment horizontal="center"/>
    </xf>
    <xf numFmtId="0" fontId="38" fillId="0" borderId="20" xfId="537" applyFont="1" applyBorder="1" applyAlignment="1">
      <alignment horizontal="center"/>
    </xf>
    <xf numFmtId="0" fontId="38" fillId="0" borderId="0" xfId="537" applyFont="1" applyAlignment="1">
      <alignment horizontal="center"/>
    </xf>
    <xf numFmtId="0" fontId="38" fillId="0" borderId="77" xfId="537" applyFont="1" applyBorder="1" applyAlignment="1">
      <alignment horizontal="center"/>
    </xf>
    <xf numFmtId="0" fontId="38" fillId="47" borderId="27" xfId="537" applyFont="1" applyFill="1" applyBorder="1" applyAlignment="1">
      <alignment horizontal="center"/>
    </xf>
    <xf numFmtId="0" fontId="38" fillId="47" borderId="104" xfId="537" applyFont="1" applyFill="1" applyBorder="1" applyAlignment="1">
      <alignment horizontal="center"/>
    </xf>
    <xf numFmtId="0" fontId="38" fillId="47" borderId="42" xfId="537" applyFont="1" applyFill="1" applyBorder="1" applyAlignment="1">
      <alignment horizontal="center"/>
    </xf>
    <xf numFmtId="0" fontId="38" fillId="47" borderId="44" xfId="537" applyFont="1" applyFill="1" applyBorder="1" applyAlignment="1">
      <alignment horizontal="center"/>
    </xf>
    <xf numFmtId="0" fontId="164" fillId="47" borderId="21" xfId="537" applyFont="1" applyFill="1" applyBorder="1" applyAlignment="1">
      <alignment horizontal="center"/>
    </xf>
    <xf numFmtId="0" fontId="164" fillId="47" borderId="22" xfId="537" applyFont="1" applyFill="1" applyBorder="1" applyAlignment="1">
      <alignment horizontal="center"/>
    </xf>
    <xf numFmtId="0" fontId="38" fillId="0" borderId="27" xfId="537" applyFont="1" applyBorder="1" applyAlignment="1">
      <alignment horizontal="center"/>
    </xf>
    <xf numFmtId="0" fontId="38" fillId="0" borderId="104" xfId="537" applyFont="1" applyBorder="1" applyAlignment="1">
      <alignment horizontal="center"/>
    </xf>
    <xf numFmtId="0" fontId="38" fillId="0" borderId="21" xfId="537" applyFont="1" applyBorder="1" applyAlignment="1">
      <alignment horizontal="center"/>
    </xf>
    <xf numFmtId="0" fontId="38" fillId="0" borderId="22" xfId="537" applyFont="1" applyBorder="1" applyAlignment="1">
      <alignment horizontal="center"/>
    </xf>
    <xf numFmtId="0" fontId="38" fillId="0" borderId="71" xfId="537" applyFont="1" applyBorder="1" applyAlignment="1">
      <alignment horizontal="center"/>
    </xf>
    <xf numFmtId="38" fontId="162" fillId="54" borderId="0" xfId="335" applyNumberFormat="1" applyFont="1" applyFill="1" applyBorder="1" applyAlignment="1" applyProtection="1">
      <alignment horizontal="center"/>
    </xf>
    <xf numFmtId="38" fontId="169" fillId="47" borderId="28" xfId="335" applyNumberFormat="1" applyFont="1" applyFill="1" applyBorder="1" applyAlignment="1" applyProtection="1">
      <alignment horizontal="center" vertical="center"/>
    </xf>
    <xf numFmtId="9" fontId="128" fillId="0" borderId="0" xfId="458" applyFont="1" applyFill="1" applyBorder="1" applyAlignment="1" applyProtection="1">
      <alignment horizontal="right"/>
    </xf>
    <xf numFmtId="39" fontId="155" fillId="47" borderId="21" xfId="0" applyFont="1" applyFill="1" applyBorder="1" applyAlignment="1">
      <alignment horizontal="center"/>
    </xf>
    <xf numFmtId="39" fontId="155" fillId="47" borderId="22" xfId="0" applyFont="1" applyFill="1" applyBorder="1" applyAlignment="1">
      <alignment horizontal="center"/>
    </xf>
    <xf numFmtId="39" fontId="155" fillId="47" borderId="71" xfId="0" applyFont="1" applyFill="1" applyBorder="1" applyAlignment="1">
      <alignment horizontal="center"/>
    </xf>
    <xf numFmtId="39" fontId="155" fillId="47" borderId="72" xfId="0" applyFont="1" applyFill="1" applyBorder="1" applyAlignment="1">
      <alignment horizontal="center"/>
    </xf>
    <xf numFmtId="39" fontId="155" fillId="47" borderId="74" xfId="0" applyFont="1" applyFill="1" applyBorder="1" applyAlignment="1">
      <alignment horizontal="center"/>
    </xf>
    <xf numFmtId="0" fontId="108" fillId="47" borderId="42" xfId="390" applyFont="1" applyFill="1" applyBorder="1" applyAlignment="1">
      <alignment horizontal="center"/>
    </xf>
    <xf numFmtId="0" fontId="108" fillId="47" borderId="44" xfId="390" applyFont="1" applyFill="1" applyBorder="1" applyAlignment="1">
      <alignment horizontal="center"/>
    </xf>
    <xf numFmtId="0" fontId="106" fillId="47" borderId="27" xfId="390" applyFont="1" applyFill="1" applyBorder="1" applyAlignment="1">
      <alignment horizontal="center"/>
    </xf>
    <xf numFmtId="0" fontId="106" fillId="47" borderId="104" xfId="390" applyFont="1" applyFill="1" applyBorder="1" applyAlignment="1">
      <alignment horizontal="center"/>
    </xf>
    <xf numFmtId="0" fontId="104" fillId="47" borderId="27" xfId="390" applyFont="1" applyFill="1" applyBorder="1" applyAlignment="1">
      <alignment horizontal="center"/>
    </xf>
    <xf numFmtId="0" fontId="104" fillId="47" borderId="104" xfId="390" applyFont="1" applyFill="1" applyBorder="1" applyAlignment="1">
      <alignment horizontal="center"/>
    </xf>
    <xf numFmtId="0" fontId="97" fillId="47" borderId="27" xfId="390" applyFont="1" applyFill="1" applyBorder="1" applyAlignment="1">
      <alignment horizontal="center"/>
    </xf>
    <xf numFmtId="0" fontId="97" fillId="47" borderId="104" xfId="390" applyFont="1" applyFill="1" applyBorder="1" applyAlignment="1">
      <alignment horizontal="center"/>
    </xf>
    <xf numFmtId="0" fontId="103" fillId="0" borderId="0" xfId="390" applyFont="1" applyAlignment="1">
      <alignment horizontal="center"/>
    </xf>
    <xf numFmtId="0" fontId="103" fillId="0" borderId="104" xfId="390" applyFont="1" applyBorder="1" applyAlignment="1">
      <alignment horizontal="center"/>
    </xf>
    <xf numFmtId="38" fontId="107" fillId="54" borderId="0" xfId="335" applyNumberFormat="1" applyFont="1" applyFill="1" applyBorder="1" applyAlignment="1" applyProtection="1">
      <alignment horizontal="center"/>
    </xf>
    <xf numFmtId="49" fontId="150" fillId="47" borderId="21" xfId="335" applyNumberFormat="1" applyFont="1" applyFill="1" applyBorder="1" applyAlignment="1" applyProtection="1">
      <alignment horizontal="center"/>
    </xf>
    <xf numFmtId="49" fontId="150" fillId="47" borderId="22" xfId="335" applyNumberFormat="1" applyFont="1" applyFill="1" applyBorder="1" applyAlignment="1" applyProtection="1">
      <alignment horizontal="center"/>
    </xf>
    <xf numFmtId="9" fontId="128" fillId="0" borderId="0" xfId="458" applyFont="1" applyFill="1" applyBorder="1" applyAlignment="1" applyProtection="1">
      <alignment horizontal="center" wrapText="1"/>
    </xf>
    <xf numFmtId="9" fontId="128" fillId="0" borderId="0" xfId="458" applyFont="1" applyFill="1" applyBorder="1" applyAlignment="1" applyProtection="1">
      <alignment horizontal="center"/>
    </xf>
  </cellXfs>
  <cellStyles count="555">
    <cellStyle name="20% - Énfasis1" xfId="1" builtinId="30" customBuiltin="1"/>
    <cellStyle name="20% - Énfasis1 2" xfId="2" xr:uid="{00000000-0005-0000-0000-000001000000}"/>
    <cellStyle name="20% - Énfasis1 2 2" xfId="3" xr:uid="{00000000-0005-0000-0000-000002000000}"/>
    <cellStyle name="20% - Énfasis1 2 2 2" xfId="4" xr:uid="{00000000-0005-0000-0000-000003000000}"/>
    <cellStyle name="20% - Énfasis1 2 3" xfId="5" xr:uid="{00000000-0005-0000-0000-000004000000}"/>
    <cellStyle name="20% - Énfasis1 2 3 2" xfId="6" xr:uid="{00000000-0005-0000-0000-000005000000}"/>
    <cellStyle name="20% - Énfasis1 2 4" xfId="7" xr:uid="{00000000-0005-0000-0000-000006000000}"/>
    <cellStyle name="20% - Énfasis1 3" xfId="8" xr:uid="{00000000-0005-0000-0000-000007000000}"/>
    <cellStyle name="20% - Énfasis1 3 2" xfId="9" xr:uid="{00000000-0005-0000-0000-000008000000}"/>
    <cellStyle name="20% - Énfasis1 4" xfId="10" xr:uid="{00000000-0005-0000-0000-000009000000}"/>
    <cellStyle name="20% - Énfasis1 4 2" xfId="11" xr:uid="{00000000-0005-0000-0000-00000A000000}"/>
    <cellStyle name="20% - Énfasis1 5" xfId="12" xr:uid="{00000000-0005-0000-0000-00000B000000}"/>
    <cellStyle name="20% - Énfasis1 5 2" xfId="13" xr:uid="{00000000-0005-0000-0000-00000C000000}"/>
    <cellStyle name="20% - Énfasis1 6" xfId="14" xr:uid="{00000000-0005-0000-0000-00000D000000}"/>
    <cellStyle name="20% - Énfasis1 6 2" xfId="15" xr:uid="{00000000-0005-0000-0000-00000E000000}"/>
    <cellStyle name="20% - Énfasis1 7" xfId="16" xr:uid="{00000000-0005-0000-0000-00000F000000}"/>
    <cellStyle name="20% - Énfasis2" xfId="17" builtinId="34" customBuiltin="1"/>
    <cellStyle name="20% - Énfasis2 2" xfId="18" xr:uid="{00000000-0005-0000-0000-000011000000}"/>
    <cellStyle name="20% - Énfasis2 2 2" xfId="19" xr:uid="{00000000-0005-0000-0000-000012000000}"/>
    <cellStyle name="20% - Énfasis2 2 2 2" xfId="20" xr:uid="{00000000-0005-0000-0000-000013000000}"/>
    <cellStyle name="20% - Énfasis2 2 3" xfId="21" xr:uid="{00000000-0005-0000-0000-000014000000}"/>
    <cellStyle name="20% - Énfasis2 3" xfId="22" xr:uid="{00000000-0005-0000-0000-000015000000}"/>
    <cellStyle name="20% - Énfasis2 3 2" xfId="23" xr:uid="{00000000-0005-0000-0000-000016000000}"/>
    <cellStyle name="20% - Énfasis2 4" xfId="24" xr:uid="{00000000-0005-0000-0000-000017000000}"/>
    <cellStyle name="20% - Énfasis2 4 2" xfId="25" xr:uid="{00000000-0005-0000-0000-000018000000}"/>
    <cellStyle name="20% - Énfasis2 5" xfId="26" xr:uid="{00000000-0005-0000-0000-000019000000}"/>
    <cellStyle name="20% - Énfasis2 5 2" xfId="27" xr:uid="{00000000-0005-0000-0000-00001A000000}"/>
    <cellStyle name="20% - Énfasis2 6" xfId="28" xr:uid="{00000000-0005-0000-0000-00001B000000}"/>
    <cellStyle name="20% - Énfasis2 6 2" xfId="29" xr:uid="{00000000-0005-0000-0000-00001C000000}"/>
    <cellStyle name="20% - Énfasis2 7" xfId="30" xr:uid="{00000000-0005-0000-0000-00001D000000}"/>
    <cellStyle name="20% - Énfasis3" xfId="31" builtinId="38" customBuiltin="1"/>
    <cellStyle name="20% - Énfasis3 2" xfId="32" xr:uid="{00000000-0005-0000-0000-00001F000000}"/>
    <cellStyle name="20% - Énfasis3 2 2" xfId="33" xr:uid="{00000000-0005-0000-0000-000020000000}"/>
    <cellStyle name="20% - Énfasis3 2 2 2" xfId="34" xr:uid="{00000000-0005-0000-0000-000021000000}"/>
    <cellStyle name="20% - Énfasis3 2 3" xfId="35" xr:uid="{00000000-0005-0000-0000-000022000000}"/>
    <cellStyle name="20% - Énfasis3 3" xfId="36" xr:uid="{00000000-0005-0000-0000-000023000000}"/>
    <cellStyle name="20% - Énfasis3 3 2" xfId="37" xr:uid="{00000000-0005-0000-0000-000024000000}"/>
    <cellStyle name="20% - Énfasis3 4" xfId="38" xr:uid="{00000000-0005-0000-0000-000025000000}"/>
    <cellStyle name="20% - Énfasis3 4 2" xfId="39" xr:uid="{00000000-0005-0000-0000-000026000000}"/>
    <cellStyle name="20% - Énfasis3 5" xfId="40" xr:uid="{00000000-0005-0000-0000-000027000000}"/>
    <cellStyle name="20% - Énfasis3 5 2" xfId="41" xr:uid="{00000000-0005-0000-0000-000028000000}"/>
    <cellStyle name="20% - Énfasis3 6" xfId="42" xr:uid="{00000000-0005-0000-0000-000029000000}"/>
    <cellStyle name="20% - Énfasis3 6 2" xfId="43" xr:uid="{00000000-0005-0000-0000-00002A000000}"/>
    <cellStyle name="20% - Énfasis3 7" xfId="44" xr:uid="{00000000-0005-0000-0000-00002B000000}"/>
    <cellStyle name="20% - Énfasis4" xfId="45" builtinId="42" customBuiltin="1"/>
    <cellStyle name="20% - Énfasis4 2" xfId="46" xr:uid="{00000000-0005-0000-0000-00002D000000}"/>
    <cellStyle name="20% - Énfasis4 2 2" xfId="47" xr:uid="{00000000-0005-0000-0000-00002E000000}"/>
    <cellStyle name="20% - Énfasis4 2 2 2" xfId="48" xr:uid="{00000000-0005-0000-0000-00002F000000}"/>
    <cellStyle name="20% - Énfasis4 2 3" xfId="49" xr:uid="{00000000-0005-0000-0000-000030000000}"/>
    <cellStyle name="20% - Énfasis4 2 3 2" xfId="50" xr:uid="{00000000-0005-0000-0000-000031000000}"/>
    <cellStyle name="20% - Énfasis4 2 4" xfId="51" xr:uid="{00000000-0005-0000-0000-000032000000}"/>
    <cellStyle name="20% - Énfasis4 3" xfId="52" xr:uid="{00000000-0005-0000-0000-000033000000}"/>
    <cellStyle name="20% - Énfasis4 3 2" xfId="53" xr:uid="{00000000-0005-0000-0000-000034000000}"/>
    <cellStyle name="20% - Énfasis4 4" xfId="54" xr:uid="{00000000-0005-0000-0000-000035000000}"/>
    <cellStyle name="20% - Énfasis4 4 2" xfId="55" xr:uid="{00000000-0005-0000-0000-000036000000}"/>
    <cellStyle name="20% - Énfasis4 5" xfId="56" xr:uid="{00000000-0005-0000-0000-000037000000}"/>
    <cellStyle name="20% - Énfasis4 5 2" xfId="57" xr:uid="{00000000-0005-0000-0000-000038000000}"/>
    <cellStyle name="20% - Énfasis4 6" xfId="58" xr:uid="{00000000-0005-0000-0000-000039000000}"/>
    <cellStyle name="20% - Énfasis4 6 2" xfId="59" xr:uid="{00000000-0005-0000-0000-00003A000000}"/>
    <cellStyle name="20% - Énfasis4 7" xfId="60" xr:uid="{00000000-0005-0000-0000-00003B000000}"/>
    <cellStyle name="20% - Énfasis5" xfId="61" builtinId="46" customBuiltin="1"/>
    <cellStyle name="20% - Énfasis5 2" xfId="62" xr:uid="{00000000-0005-0000-0000-00003D000000}"/>
    <cellStyle name="20% - Énfasis5 2 2" xfId="63" xr:uid="{00000000-0005-0000-0000-00003E000000}"/>
    <cellStyle name="20% - Énfasis5 2 2 2" xfId="64" xr:uid="{00000000-0005-0000-0000-00003F000000}"/>
    <cellStyle name="20% - Énfasis5 2 3" xfId="65" xr:uid="{00000000-0005-0000-0000-000040000000}"/>
    <cellStyle name="20% - Énfasis5 2 3 2" xfId="66" xr:uid="{00000000-0005-0000-0000-000041000000}"/>
    <cellStyle name="20% - Énfasis5 2 4" xfId="67" xr:uid="{00000000-0005-0000-0000-000042000000}"/>
    <cellStyle name="20% - Énfasis5 3" xfId="68" xr:uid="{00000000-0005-0000-0000-000043000000}"/>
    <cellStyle name="20% - Énfasis5 3 2" xfId="69" xr:uid="{00000000-0005-0000-0000-000044000000}"/>
    <cellStyle name="20% - Énfasis5 4" xfId="70" xr:uid="{00000000-0005-0000-0000-000045000000}"/>
    <cellStyle name="20% - Énfasis5 4 2" xfId="71" xr:uid="{00000000-0005-0000-0000-000046000000}"/>
    <cellStyle name="20% - Énfasis5 5" xfId="72" xr:uid="{00000000-0005-0000-0000-000047000000}"/>
    <cellStyle name="20% - Énfasis5 5 2" xfId="73" xr:uid="{00000000-0005-0000-0000-000048000000}"/>
    <cellStyle name="20% - Énfasis5 6" xfId="74" xr:uid="{00000000-0005-0000-0000-000049000000}"/>
    <cellStyle name="20% - Énfasis5 6 2" xfId="75" xr:uid="{00000000-0005-0000-0000-00004A000000}"/>
    <cellStyle name="20% - Énfasis5 7" xfId="76" xr:uid="{00000000-0005-0000-0000-00004B000000}"/>
    <cellStyle name="20% - Énfasis6" xfId="77" builtinId="50" customBuiltin="1"/>
    <cellStyle name="20% - Énfasis6 2" xfId="78" xr:uid="{00000000-0005-0000-0000-00004D000000}"/>
    <cellStyle name="20% - Énfasis6 2 2" xfId="79" xr:uid="{00000000-0005-0000-0000-00004E000000}"/>
    <cellStyle name="20% - Énfasis6 2 2 2" xfId="80" xr:uid="{00000000-0005-0000-0000-00004F000000}"/>
    <cellStyle name="20% - Énfasis6 2 3" xfId="81" xr:uid="{00000000-0005-0000-0000-000050000000}"/>
    <cellStyle name="20% - Énfasis6 3" xfId="82" xr:uid="{00000000-0005-0000-0000-000051000000}"/>
    <cellStyle name="20% - Énfasis6 3 2" xfId="83" xr:uid="{00000000-0005-0000-0000-000052000000}"/>
    <cellStyle name="20% - Énfasis6 4" xfId="84" xr:uid="{00000000-0005-0000-0000-000053000000}"/>
    <cellStyle name="20% - Énfasis6 4 2" xfId="85" xr:uid="{00000000-0005-0000-0000-000054000000}"/>
    <cellStyle name="20% - Énfasis6 5" xfId="86" xr:uid="{00000000-0005-0000-0000-000055000000}"/>
    <cellStyle name="20% - Énfasis6 5 2" xfId="87" xr:uid="{00000000-0005-0000-0000-000056000000}"/>
    <cellStyle name="20% - Énfasis6 6" xfId="88" xr:uid="{00000000-0005-0000-0000-000057000000}"/>
    <cellStyle name="20% - Énfasis6 6 2" xfId="89" xr:uid="{00000000-0005-0000-0000-000058000000}"/>
    <cellStyle name="20% - Énfasis6 7" xfId="90" xr:uid="{00000000-0005-0000-0000-000059000000}"/>
    <cellStyle name="40% - Énfasis1" xfId="91" builtinId="31" customBuiltin="1"/>
    <cellStyle name="40% - Énfasis1 2" xfId="92" xr:uid="{00000000-0005-0000-0000-00005B000000}"/>
    <cellStyle name="40% - Énfasis1 2 2" xfId="93" xr:uid="{00000000-0005-0000-0000-00005C000000}"/>
    <cellStyle name="40% - Énfasis1 2 2 2" xfId="94" xr:uid="{00000000-0005-0000-0000-00005D000000}"/>
    <cellStyle name="40% - Énfasis1 2 3" xfId="95" xr:uid="{00000000-0005-0000-0000-00005E000000}"/>
    <cellStyle name="40% - Énfasis1 2 3 2" xfId="96" xr:uid="{00000000-0005-0000-0000-00005F000000}"/>
    <cellStyle name="40% - Énfasis1 2 4" xfId="97" xr:uid="{00000000-0005-0000-0000-000060000000}"/>
    <cellStyle name="40% - Énfasis1 3" xfId="98" xr:uid="{00000000-0005-0000-0000-000061000000}"/>
    <cellStyle name="40% - Énfasis1 3 2" xfId="99" xr:uid="{00000000-0005-0000-0000-000062000000}"/>
    <cellStyle name="40% - Énfasis1 4" xfId="100" xr:uid="{00000000-0005-0000-0000-000063000000}"/>
    <cellStyle name="40% - Énfasis1 4 2" xfId="101" xr:uid="{00000000-0005-0000-0000-000064000000}"/>
    <cellStyle name="40% - Énfasis1 5" xfId="102" xr:uid="{00000000-0005-0000-0000-000065000000}"/>
    <cellStyle name="40% - Énfasis1 5 2" xfId="103" xr:uid="{00000000-0005-0000-0000-000066000000}"/>
    <cellStyle name="40% - Énfasis1 6" xfId="104" xr:uid="{00000000-0005-0000-0000-000067000000}"/>
    <cellStyle name="40% - Énfasis1 6 2" xfId="105" xr:uid="{00000000-0005-0000-0000-000068000000}"/>
    <cellStyle name="40% - Énfasis1 7" xfId="106" xr:uid="{00000000-0005-0000-0000-000069000000}"/>
    <cellStyle name="40% - Énfasis2" xfId="107" builtinId="35" customBuiltin="1"/>
    <cellStyle name="40% - Énfasis2 2" xfId="108" xr:uid="{00000000-0005-0000-0000-00006B000000}"/>
    <cellStyle name="40% - Énfasis2 2 2" xfId="109" xr:uid="{00000000-0005-0000-0000-00006C000000}"/>
    <cellStyle name="40% - Énfasis2 2 2 2" xfId="110" xr:uid="{00000000-0005-0000-0000-00006D000000}"/>
    <cellStyle name="40% - Énfasis2 2 3" xfId="111" xr:uid="{00000000-0005-0000-0000-00006E000000}"/>
    <cellStyle name="40% - Énfasis2 3" xfId="112" xr:uid="{00000000-0005-0000-0000-00006F000000}"/>
    <cellStyle name="40% - Énfasis2 3 2" xfId="113" xr:uid="{00000000-0005-0000-0000-000070000000}"/>
    <cellStyle name="40% - Énfasis2 4" xfId="114" xr:uid="{00000000-0005-0000-0000-000071000000}"/>
    <cellStyle name="40% - Énfasis2 4 2" xfId="115" xr:uid="{00000000-0005-0000-0000-000072000000}"/>
    <cellStyle name="40% - Énfasis2 5" xfId="116" xr:uid="{00000000-0005-0000-0000-000073000000}"/>
    <cellStyle name="40% - Énfasis2 5 2" xfId="117" xr:uid="{00000000-0005-0000-0000-000074000000}"/>
    <cellStyle name="40% - Énfasis2 6" xfId="118" xr:uid="{00000000-0005-0000-0000-000075000000}"/>
    <cellStyle name="40% - Énfasis2 6 2" xfId="119" xr:uid="{00000000-0005-0000-0000-000076000000}"/>
    <cellStyle name="40% - Énfasis2 7" xfId="120" xr:uid="{00000000-0005-0000-0000-000077000000}"/>
    <cellStyle name="40% - Énfasis3" xfId="121" builtinId="39" customBuiltin="1"/>
    <cellStyle name="40% - Énfasis3 2" xfId="122" xr:uid="{00000000-0005-0000-0000-000079000000}"/>
    <cellStyle name="40% - Énfasis3 2 2" xfId="123" xr:uid="{00000000-0005-0000-0000-00007A000000}"/>
    <cellStyle name="40% - Énfasis3 2 2 2" xfId="124" xr:uid="{00000000-0005-0000-0000-00007B000000}"/>
    <cellStyle name="40% - Énfasis3 2 3" xfId="125" xr:uid="{00000000-0005-0000-0000-00007C000000}"/>
    <cellStyle name="40% - Énfasis3 3" xfId="126" xr:uid="{00000000-0005-0000-0000-00007D000000}"/>
    <cellStyle name="40% - Énfasis3 3 2" xfId="127" xr:uid="{00000000-0005-0000-0000-00007E000000}"/>
    <cellStyle name="40% - Énfasis3 4" xfId="128" xr:uid="{00000000-0005-0000-0000-00007F000000}"/>
    <cellStyle name="40% - Énfasis3 4 2" xfId="129" xr:uid="{00000000-0005-0000-0000-000080000000}"/>
    <cellStyle name="40% - Énfasis3 5" xfId="130" xr:uid="{00000000-0005-0000-0000-000081000000}"/>
    <cellStyle name="40% - Énfasis3 5 2" xfId="131" xr:uid="{00000000-0005-0000-0000-000082000000}"/>
    <cellStyle name="40% - Énfasis3 6" xfId="132" xr:uid="{00000000-0005-0000-0000-000083000000}"/>
    <cellStyle name="40% - Énfasis3 6 2" xfId="133" xr:uid="{00000000-0005-0000-0000-000084000000}"/>
    <cellStyle name="40% - Énfasis3 7" xfId="134" xr:uid="{00000000-0005-0000-0000-000085000000}"/>
    <cellStyle name="40% - Énfasis4" xfId="135" builtinId="43" customBuiltin="1"/>
    <cellStyle name="40% - Énfasis4 2" xfId="136" xr:uid="{00000000-0005-0000-0000-000087000000}"/>
    <cellStyle name="40% - Énfasis4 2 2" xfId="137" xr:uid="{00000000-0005-0000-0000-000088000000}"/>
    <cellStyle name="40% - Énfasis4 2 2 2" xfId="138" xr:uid="{00000000-0005-0000-0000-000089000000}"/>
    <cellStyle name="40% - Énfasis4 2 3" xfId="139" xr:uid="{00000000-0005-0000-0000-00008A000000}"/>
    <cellStyle name="40% - Énfasis4 3" xfId="140" xr:uid="{00000000-0005-0000-0000-00008B000000}"/>
    <cellStyle name="40% - Énfasis4 3 2" xfId="141" xr:uid="{00000000-0005-0000-0000-00008C000000}"/>
    <cellStyle name="40% - Énfasis4 4" xfId="142" xr:uid="{00000000-0005-0000-0000-00008D000000}"/>
    <cellStyle name="40% - Énfasis4 4 2" xfId="143" xr:uid="{00000000-0005-0000-0000-00008E000000}"/>
    <cellStyle name="40% - Énfasis4 5" xfId="144" xr:uid="{00000000-0005-0000-0000-00008F000000}"/>
    <cellStyle name="40% - Énfasis4 5 2" xfId="145" xr:uid="{00000000-0005-0000-0000-000090000000}"/>
    <cellStyle name="40% - Énfasis4 6" xfId="146" xr:uid="{00000000-0005-0000-0000-000091000000}"/>
    <cellStyle name="40% - Énfasis4 6 2" xfId="147" xr:uid="{00000000-0005-0000-0000-000092000000}"/>
    <cellStyle name="40% - Énfasis4 7" xfId="148" xr:uid="{00000000-0005-0000-0000-000093000000}"/>
    <cellStyle name="40% - Énfasis5" xfId="149" builtinId="47" customBuiltin="1"/>
    <cellStyle name="40% - Énfasis5 2" xfId="150" xr:uid="{00000000-0005-0000-0000-000095000000}"/>
    <cellStyle name="40% - Énfasis5 2 2" xfId="151" xr:uid="{00000000-0005-0000-0000-000096000000}"/>
    <cellStyle name="40% - Énfasis5 2 2 2" xfId="152" xr:uid="{00000000-0005-0000-0000-000097000000}"/>
    <cellStyle name="40% - Énfasis5 2 3" xfId="153" xr:uid="{00000000-0005-0000-0000-000098000000}"/>
    <cellStyle name="40% - Énfasis5 2 3 2" xfId="154" xr:uid="{00000000-0005-0000-0000-000099000000}"/>
    <cellStyle name="40% - Énfasis5 2 4" xfId="155" xr:uid="{00000000-0005-0000-0000-00009A000000}"/>
    <cellStyle name="40% - Énfasis5 3" xfId="156" xr:uid="{00000000-0005-0000-0000-00009B000000}"/>
    <cellStyle name="40% - Énfasis5 3 2" xfId="157" xr:uid="{00000000-0005-0000-0000-00009C000000}"/>
    <cellStyle name="40% - Énfasis5 4" xfId="158" xr:uid="{00000000-0005-0000-0000-00009D000000}"/>
    <cellStyle name="40% - Énfasis5 4 2" xfId="159" xr:uid="{00000000-0005-0000-0000-00009E000000}"/>
    <cellStyle name="40% - Énfasis5 5" xfId="160" xr:uid="{00000000-0005-0000-0000-00009F000000}"/>
    <cellStyle name="40% - Énfasis5 5 2" xfId="161" xr:uid="{00000000-0005-0000-0000-0000A0000000}"/>
    <cellStyle name="40% - Énfasis5 6" xfId="162" xr:uid="{00000000-0005-0000-0000-0000A1000000}"/>
    <cellStyle name="40% - Énfasis5 6 2" xfId="163" xr:uid="{00000000-0005-0000-0000-0000A2000000}"/>
    <cellStyle name="40% - Énfasis5 7" xfId="164" xr:uid="{00000000-0005-0000-0000-0000A3000000}"/>
    <cellStyle name="40% - Énfasis6" xfId="165" builtinId="51" customBuiltin="1"/>
    <cellStyle name="40% - Énfasis6 2" xfId="166" xr:uid="{00000000-0005-0000-0000-0000A5000000}"/>
    <cellStyle name="40% - Énfasis6 2 2" xfId="167" xr:uid="{00000000-0005-0000-0000-0000A6000000}"/>
    <cellStyle name="40% - Énfasis6 2 2 2" xfId="168" xr:uid="{00000000-0005-0000-0000-0000A7000000}"/>
    <cellStyle name="40% - Énfasis6 2 3" xfId="169" xr:uid="{00000000-0005-0000-0000-0000A8000000}"/>
    <cellStyle name="40% - Énfasis6 3" xfId="170" xr:uid="{00000000-0005-0000-0000-0000A9000000}"/>
    <cellStyle name="40% - Énfasis6 3 2" xfId="171" xr:uid="{00000000-0005-0000-0000-0000AA000000}"/>
    <cellStyle name="40% - Énfasis6 4" xfId="172" xr:uid="{00000000-0005-0000-0000-0000AB000000}"/>
    <cellStyle name="40% - Énfasis6 4 2" xfId="173" xr:uid="{00000000-0005-0000-0000-0000AC000000}"/>
    <cellStyle name="40% - Énfasis6 5" xfId="174" xr:uid="{00000000-0005-0000-0000-0000AD000000}"/>
    <cellStyle name="40% - Énfasis6 5 2" xfId="175" xr:uid="{00000000-0005-0000-0000-0000AE000000}"/>
    <cellStyle name="40% - Énfasis6 6" xfId="176" xr:uid="{00000000-0005-0000-0000-0000AF000000}"/>
    <cellStyle name="40% - Énfasis6 6 2" xfId="177" xr:uid="{00000000-0005-0000-0000-0000B0000000}"/>
    <cellStyle name="40% - Énfasis6 7" xfId="178" xr:uid="{00000000-0005-0000-0000-0000B1000000}"/>
    <cellStyle name="60% - Énfasis1" xfId="179" builtinId="32" customBuiltin="1"/>
    <cellStyle name="60% - Énfasis1 2" xfId="180" xr:uid="{00000000-0005-0000-0000-0000B3000000}"/>
    <cellStyle name="60% - Énfasis1 2 2" xfId="181" xr:uid="{00000000-0005-0000-0000-0000B4000000}"/>
    <cellStyle name="60% - Énfasis1 2 3" xfId="182" xr:uid="{00000000-0005-0000-0000-0000B5000000}"/>
    <cellStyle name="60% - Énfasis1 3" xfId="183" xr:uid="{00000000-0005-0000-0000-0000B6000000}"/>
    <cellStyle name="60% - Énfasis1 4" xfId="184" xr:uid="{00000000-0005-0000-0000-0000B7000000}"/>
    <cellStyle name="60% - Énfasis1 5" xfId="185" xr:uid="{00000000-0005-0000-0000-0000B8000000}"/>
    <cellStyle name="60% - Énfasis1 6" xfId="186" xr:uid="{00000000-0005-0000-0000-0000B9000000}"/>
    <cellStyle name="60% - Énfasis1 7" xfId="187" xr:uid="{00000000-0005-0000-0000-0000BA000000}"/>
    <cellStyle name="60% - Énfasis2" xfId="188" builtinId="36" customBuiltin="1"/>
    <cellStyle name="60% - Énfasis2 2" xfId="189" xr:uid="{00000000-0005-0000-0000-0000BC000000}"/>
    <cellStyle name="60% - Énfasis2 2 2" xfId="190" xr:uid="{00000000-0005-0000-0000-0000BD000000}"/>
    <cellStyle name="60% - Énfasis2 3" xfId="191" xr:uid="{00000000-0005-0000-0000-0000BE000000}"/>
    <cellStyle name="60% - Énfasis2 4" xfId="192" xr:uid="{00000000-0005-0000-0000-0000BF000000}"/>
    <cellStyle name="60% - Énfasis2 5" xfId="193" xr:uid="{00000000-0005-0000-0000-0000C0000000}"/>
    <cellStyle name="60% - Énfasis2 6" xfId="194" xr:uid="{00000000-0005-0000-0000-0000C1000000}"/>
    <cellStyle name="60% - Énfasis2 7" xfId="195" xr:uid="{00000000-0005-0000-0000-0000C2000000}"/>
    <cellStyle name="60% - Énfasis3" xfId="196" builtinId="40" customBuiltin="1"/>
    <cellStyle name="60% - Énfasis3 2" xfId="197" xr:uid="{00000000-0005-0000-0000-0000C4000000}"/>
    <cellStyle name="60% - Énfasis3 2 2" xfId="198" xr:uid="{00000000-0005-0000-0000-0000C5000000}"/>
    <cellStyle name="60% - Énfasis3 3" xfId="199" xr:uid="{00000000-0005-0000-0000-0000C6000000}"/>
    <cellStyle name="60% - Énfasis3 4" xfId="200" xr:uid="{00000000-0005-0000-0000-0000C7000000}"/>
    <cellStyle name="60% - Énfasis3 5" xfId="201" xr:uid="{00000000-0005-0000-0000-0000C8000000}"/>
    <cellStyle name="60% - Énfasis3 6" xfId="202" xr:uid="{00000000-0005-0000-0000-0000C9000000}"/>
    <cellStyle name="60% - Énfasis3 7" xfId="203" xr:uid="{00000000-0005-0000-0000-0000CA000000}"/>
    <cellStyle name="60% - Énfasis4" xfId="204" builtinId="44" customBuiltin="1"/>
    <cellStyle name="60% - Énfasis4 2" xfId="205" xr:uid="{00000000-0005-0000-0000-0000CC000000}"/>
    <cellStyle name="60% - Énfasis4 2 2" xfId="206" xr:uid="{00000000-0005-0000-0000-0000CD000000}"/>
    <cellStyle name="60% - Énfasis4 3" xfId="207" xr:uid="{00000000-0005-0000-0000-0000CE000000}"/>
    <cellStyle name="60% - Énfasis4 4" xfId="208" xr:uid="{00000000-0005-0000-0000-0000CF000000}"/>
    <cellStyle name="60% - Énfasis4 5" xfId="209" xr:uid="{00000000-0005-0000-0000-0000D0000000}"/>
    <cellStyle name="60% - Énfasis4 6" xfId="210" xr:uid="{00000000-0005-0000-0000-0000D1000000}"/>
    <cellStyle name="60% - Énfasis4 7" xfId="211" xr:uid="{00000000-0005-0000-0000-0000D2000000}"/>
    <cellStyle name="60% - Énfasis5" xfId="212" builtinId="48" customBuiltin="1"/>
    <cellStyle name="60% - Énfasis5 2" xfId="213" xr:uid="{00000000-0005-0000-0000-0000D4000000}"/>
    <cellStyle name="60% - Énfasis5 2 2" xfId="214" xr:uid="{00000000-0005-0000-0000-0000D5000000}"/>
    <cellStyle name="60% - Énfasis5 2 3" xfId="215" xr:uid="{00000000-0005-0000-0000-0000D6000000}"/>
    <cellStyle name="60% - Énfasis5 3" xfId="216" xr:uid="{00000000-0005-0000-0000-0000D7000000}"/>
    <cellStyle name="60% - Énfasis5 4" xfId="217" xr:uid="{00000000-0005-0000-0000-0000D8000000}"/>
    <cellStyle name="60% - Énfasis5 5" xfId="218" xr:uid="{00000000-0005-0000-0000-0000D9000000}"/>
    <cellStyle name="60% - Énfasis5 6" xfId="219" xr:uid="{00000000-0005-0000-0000-0000DA000000}"/>
    <cellStyle name="60% - Énfasis5 7" xfId="220" xr:uid="{00000000-0005-0000-0000-0000DB000000}"/>
    <cellStyle name="60% - Énfasis6" xfId="221" builtinId="52" customBuiltin="1"/>
    <cellStyle name="60% - Énfasis6 2" xfId="222" xr:uid="{00000000-0005-0000-0000-0000DD000000}"/>
    <cellStyle name="60% - Énfasis6 2 2" xfId="223" xr:uid="{00000000-0005-0000-0000-0000DE000000}"/>
    <cellStyle name="60% - Énfasis6 3" xfId="224" xr:uid="{00000000-0005-0000-0000-0000DF000000}"/>
    <cellStyle name="60% - Énfasis6 4" xfId="225" xr:uid="{00000000-0005-0000-0000-0000E0000000}"/>
    <cellStyle name="60% - Énfasis6 5" xfId="226" xr:uid="{00000000-0005-0000-0000-0000E1000000}"/>
    <cellStyle name="60% - Énfasis6 6" xfId="227" xr:uid="{00000000-0005-0000-0000-0000E2000000}"/>
    <cellStyle name="60% - Énfasis6 7" xfId="228" xr:uid="{00000000-0005-0000-0000-0000E3000000}"/>
    <cellStyle name="Buena 2" xfId="230" xr:uid="{00000000-0005-0000-0000-0000E5000000}"/>
    <cellStyle name="Buena 2 2" xfId="231" xr:uid="{00000000-0005-0000-0000-0000E6000000}"/>
    <cellStyle name="Buena 2 3" xfId="232" xr:uid="{00000000-0005-0000-0000-0000E7000000}"/>
    <cellStyle name="Buena 3" xfId="233" xr:uid="{00000000-0005-0000-0000-0000E8000000}"/>
    <cellStyle name="Buena 4" xfId="234" xr:uid="{00000000-0005-0000-0000-0000E9000000}"/>
    <cellStyle name="Buena 5" xfId="235" xr:uid="{00000000-0005-0000-0000-0000EA000000}"/>
    <cellStyle name="Buena 6" xfId="236" xr:uid="{00000000-0005-0000-0000-0000EB000000}"/>
    <cellStyle name="Buena 7" xfId="237" xr:uid="{00000000-0005-0000-0000-0000EC000000}"/>
    <cellStyle name="Bueno" xfId="229" builtinId="26" customBuiltin="1"/>
    <cellStyle name="Cálculo" xfId="238" builtinId="22" customBuiltin="1"/>
    <cellStyle name="Cálculo 2" xfId="239" xr:uid="{00000000-0005-0000-0000-0000EE000000}"/>
    <cellStyle name="Cálculo 2 2" xfId="240" xr:uid="{00000000-0005-0000-0000-0000EF000000}"/>
    <cellStyle name="Cálculo 3" xfId="241" xr:uid="{00000000-0005-0000-0000-0000F0000000}"/>
    <cellStyle name="Cálculo 4" xfId="242" xr:uid="{00000000-0005-0000-0000-0000F1000000}"/>
    <cellStyle name="Cálculo 5" xfId="243" xr:uid="{00000000-0005-0000-0000-0000F2000000}"/>
    <cellStyle name="Cálculo 6" xfId="244" xr:uid="{00000000-0005-0000-0000-0000F3000000}"/>
    <cellStyle name="Cálculo 7" xfId="245" xr:uid="{00000000-0005-0000-0000-0000F4000000}"/>
    <cellStyle name="Celda de comprobación" xfId="246" builtinId="23" customBuiltin="1"/>
    <cellStyle name="Celda de comprobación 2" xfId="247" xr:uid="{00000000-0005-0000-0000-0000F6000000}"/>
    <cellStyle name="Celda de comprobación 2 2" xfId="248" xr:uid="{00000000-0005-0000-0000-0000F7000000}"/>
    <cellStyle name="Celda de comprobación 3" xfId="249" xr:uid="{00000000-0005-0000-0000-0000F8000000}"/>
    <cellStyle name="Celda de comprobación 4" xfId="250" xr:uid="{00000000-0005-0000-0000-0000F9000000}"/>
    <cellStyle name="Celda de comprobación 5" xfId="251" xr:uid="{00000000-0005-0000-0000-0000FA000000}"/>
    <cellStyle name="Celda de comprobación 6" xfId="252" xr:uid="{00000000-0005-0000-0000-0000FB000000}"/>
    <cellStyle name="Celda de comprobación 7" xfId="253" xr:uid="{00000000-0005-0000-0000-0000FC000000}"/>
    <cellStyle name="Celda vinculada" xfId="254" builtinId="24" customBuiltin="1"/>
    <cellStyle name="Celda vinculada 2" xfId="255" xr:uid="{00000000-0005-0000-0000-0000FE000000}"/>
    <cellStyle name="Celda vinculada 2 2" xfId="256" xr:uid="{00000000-0005-0000-0000-0000FF000000}"/>
    <cellStyle name="Celda vinculada 3" xfId="257" xr:uid="{00000000-0005-0000-0000-000000010000}"/>
    <cellStyle name="Celda vinculada 4" xfId="258" xr:uid="{00000000-0005-0000-0000-000001010000}"/>
    <cellStyle name="Celda vinculada 5" xfId="259" xr:uid="{00000000-0005-0000-0000-000002010000}"/>
    <cellStyle name="Celda vinculada 6" xfId="260" xr:uid="{00000000-0005-0000-0000-000003010000}"/>
    <cellStyle name="Celda vinculada 7" xfId="261" xr:uid="{00000000-0005-0000-0000-000004010000}"/>
    <cellStyle name="Encabezado 4" xfId="262" builtinId="19" customBuiltin="1"/>
    <cellStyle name="Encabezado 4 2" xfId="263" xr:uid="{00000000-0005-0000-0000-000006010000}"/>
    <cellStyle name="Encabezado 4 2 2" xfId="264" xr:uid="{00000000-0005-0000-0000-000007010000}"/>
    <cellStyle name="Encabezado 4 3" xfId="265" xr:uid="{00000000-0005-0000-0000-000008010000}"/>
    <cellStyle name="Encabezado 4 4" xfId="266" xr:uid="{00000000-0005-0000-0000-000009010000}"/>
    <cellStyle name="Encabezado 4 5" xfId="267" xr:uid="{00000000-0005-0000-0000-00000A010000}"/>
    <cellStyle name="Encabezado 4 6" xfId="268" xr:uid="{00000000-0005-0000-0000-00000B010000}"/>
    <cellStyle name="Encabezado 4 7" xfId="269" xr:uid="{00000000-0005-0000-0000-00000C010000}"/>
    <cellStyle name="Énfasis1" xfId="270" builtinId="29" customBuiltin="1"/>
    <cellStyle name="Énfasis1 2" xfId="271" xr:uid="{00000000-0005-0000-0000-00000E010000}"/>
    <cellStyle name="Énfasis1 2 2" xfId="272" xr:uid="{00000000-0005-0000-0000-00000F010000}"/>
    <cellStyle name="Énfasis1 3" xfId="273" xr:uid="{00000000-0005-0000-0000-000010010000}"/>
    <cellStyle name="Énfasis1 4" xfId="274" xr:uid="{00000000-0005-0000-0000-000011010000}"/>
    <cellStyle name="Énfasis1 5" xfId="275" xr:uid="{00000000-0005-0000-0000-000012010000}"/>
    <cellStyle name="Énfasis1 6" xfId="276" xr:uid="{00000000-0005-0000-0000-000013010000}"/>
    <cellStyle name="Énfasis1 7" xfId="277" xr:uid="{00000000-0005-0000-0000-000014010000}"/>
    <cellStyle name="Énfasis2" xfId="278" builtinId="33" customBuiltin="1"/>
    <cellStyle name="Énfasis2 2" xfId="279" xr:uid="{00000000-0005-0000-0000-000016010000}"/>
    <cellStyle name="Énfasis2 2 2" xfId="280" xr:uid="{00000000-0005-0000-0000-000017010000}"/>
    <cellStyle name="Énfasis2 3" xfId="281" xr:uid="{00000000-0005-0000-0000-000018010000}"/>
    <cellStyle name="Énfasis2 4" xfId="282" xr:uid="{00000000-0005-0000-0000-000019010000}"/>
    <cellStyle name="Énfasis2 5" xfId="283" xr:uid="{00000000-0005-0000-0000-00001A010000}"/>
    <cellStyle name="Énfasis2 6" xfId="284" xr:uid="{00000000-0005-0000-0000-00001B010000}"/>
    <cellStyle name="Énfasis2 7" xfId="285" xr:uid="{00000000-0005-0000-0000-00001C010000}"/>
    <cellStyle name="Énfasis3" xfId="286" builtinId="37" customBuiltin="1"/>
    <cellStyle name="Énfasis3 2" xfId="287" xr:uid="{00000000-0005-0000-0000-00001E010000}"/>
    <cellStyle name="Énfasis3 2 2" xfId="288" xr:uid="{00000000-0005-0000-0000-00001F010000}"/>
    <cellStyle name="Énfasis3 3" xfId="289" xr:uid="{00000000-0005-0000-0000-000020010000}"/>
    <cellStyle name="Énfasis3 4" xfId="290" xr:uid="{00000000-0005-0000-0000-000021010000}"/>
    <cellStyle name="Énfasis3 5" xfId="291" xr:uid="{00000000-0005-0000-0000-000022010000}"/>
    <cellStyle name="Énfasis3 6" xfId="292" xr:uid="{00000000-0005-0000-0000-000023010000}"/>
    <cellStyle name="Énfasis3 7" xfId="293" xr:uid="{00000000-0005-0000-0000-000024010000}"/>
    <cellStyle name="Énfasis4" xfId="294" builtinId="41" customBuiltin="1"/>
    <cellStyle name="Énfasis4 2" xfId="295" xr:uid="{00000000-0005-0000-0000-000026010000}"/>
    <cellStyle name="Énfasis4 2 2" xfId="296" xr:uid="{00000000-0005-0000-0000-000027010000}"/>
    <cellStyle name="Énfasis4 3" xfId="297" xr:uid="{00000000-0005-0000-0000-000028010000}"/>
    <cellStyle name="Énfasis4 4" xfId="298" xr:uid="{00000000-0005-0000-0000-000029010000}"/>
    <cellStyle name="Énfasis4 5" xfId="299" xr:uid="{00000000-0005-0000-0000-00002A010000}"/>
    <cellStyle name="Énfasis4 6" xfId="300" xr:uid="{00000000-0005-0000-0000-00002B010000}"/>
    <cellStyle name="Énfasis4 7" xfId="301" xr:uid="{00000000-0005-0000-0000-00002C010000}"/>
    <cellStyle name="Énfasis5" xfId="302" builtinId="45" customBuiltin="1"/>
    <cellStyle name="Énfasis5 2" xfId="303" xr:uid="{00000000-0005-0000-0000-00002E010000}"/>
    <cellStyle name="Énfasis5 2 2" xfId="304" xr:uid="{00000000-0005-0000-0000-00002F010000}"/>
    <cellStyle name="Énfasis5 3" xfId="305" xr:uid="{00000000-0005-0000-0000-000030010000}"/>
    <cellStyle name="Énfasis5 4" xfId="306" xr:uid="{00000000-0005-0000-0000-000031010000}"/>
    <cellStyle name="Énfasis5 5" xfId="307" xr:uid="{00000000-0005-0000-0000-000032010000}"/>
    <cellStyle name="Énfasis5 6" xfId="308" xr:uid="{00000000-0005-0000-0000-000033010000}"/>
    <cellStyle name="Énfasis5 7" xfId="309" xr:uid="{00000000-0005-0000-0000-000034010000}"/>
    <cellStyle name="Énfasis6" xfId="310" builtinId="49" customBuiltin="1"/>
    <cellStyle name="Énfasis6 2" xfId="311" xr:uid="{00000000-0005-0000-0000-000036010000}"/>
    <cellStyle name="Énfasis6 2 2" xfId="312" xr:uid="{00000000-0005-0000-0000-000037010000}"/>
    <cellStyle name="Énfasis6 2 3" xfId="313" xr:uid="{00000000-0005-0000-0000-000038010000}"/>
    <cellStyle name="Énfasis6 3" xfId="314" xr:uid="{00000000-0005-0000-0000-000039010000}"/>
    <cellStyle name="Énfasis6 4" xfId="315" xr:uid="{00000000-0005-0000-0000-00003A010000}"/>
    <cellStyle name="Énfasis6 5" xfId="316" xr:uid="{00000000-0005-0000-0000-00003B010000}"/>
    <cellStyle name="Énfasis6 6" xfId="317" xr:uid="{00000000-0005-0000-0000-00003C010000}"/>
    <cellStyle name="Énfasis6 7" xfId="318" xr:uid="{00000000-0005-0000-0000-00003D010000}"/>
    <cellStyle name="Entrada" xfId="319" builtinId="20" customBuiltin="1"/>
    <cellStyle name="Entrada 2" xfId="320" xr:uid="{00000000-0005-0000-0000-00003F010000}"/>
    <cellStyle name="Entrada 2 2" xfId="321" xr:uid="{00000000-0005-0000-0000-000040010000}"/>
    <cellStyle name="Entrada 3" xfId="322" xr:uid="{00000000-0005-0000-0000-000041010000}"/>
    <cellStyle name="Entrada 4" xfId="323" xr:uid="{00000000-0005-0000-0000-000042010000}"/>
    <cellStyle name="Entrada 5" xfId="324" xr:uid="{00000000-0005-0000-0000-000043010000}"/>
    <cellStyle name="Entrada 6" xfId="325" xr:uid="{00000000-0005-0000-0000-000044010000}"/>
    <cellStyle name="Entrada 7" xfId="326" xr:uid="{00000000-0005-0000-0000-000045010000}"/>
    <cellStyle name="Incorrecto" xfId="327" builtinId="27" customBuiltin="1"/>
    <cellStyle name="Incorrecto 2" xfId="328" xr:uid="{00000000-0005-0000-0000-000047010000}"/>
    <cellStyle name="Incorrecto 2 2" xfId="329" xr:uid="{00000000-0005-0000-0000-000048010000}"/>
    <cellStyle name="Incorrecto 3" xfId="330" xr:uid="{00000000-0005-0000-0000-000049010000}"/>
    <cellStyle name="Incorrecto 4" xfId="331" xr:uid="{00000000-0005-0000-0000-00004A010000}"/>
    <cellStyle name="Incorrecto 5" xfId="332" xr:uid="{00000000-0005-0000-0000-00004B010000}"/>
    <cellStyle name="Incorrecto 6" xfId="333" xr:uid="{00000000-0005-0000-0000-00004C010000}"/>
    <cellStyle name="Incorrecto 7" xfId="334" xr:uid="{00000000-0005-0000-0000-00004D010000}"/>
    <cellStyle name="Millares" xfId="335" builtinId="3"/>
    <cellStyle name="Millares [0] 2" xfId="336" xr:uid="{00000000-0005-0000-0000-00004F010000}"/>
    <cellStyle name="Millares [0] 2 2" xfId="337" xr:uid="{00000000-0005-0000-0000-000050010000}"/>
    <cellStyle name="Millares 10" xfId="338" xr:uid="{00000000-0005-0000-0000-000051010000}"/>
    <cellStyle name="Millares 11" xfId="339" xr:uid="{00000000-0005-0000-0000-000052010000}"/>
    <cellStyle name="Millares 12" xfId="340" xr:uid="{00000000-0005-0000-0000-000053010000}"/>
    <cellStyle name="Millares 13" xfId="341" xr:uid="{00000000-0005-0000-0000-000054010000}"/>
    <cellStyle name="Millares 14" xfId="342" xr:uid="{00000000-0005-0000-0000-000055010000}"/>
    <cellStyle name="Millares 15" xfId="343" xr:uid="{00000000-0005-0000-0000-000056010000}"/>
    <cellStyle name="Millares 16" xfId="344" xr:uid="{00000000-0005-0000-0000-000057010000}"/>
    <cellStyle name="Millares 17" xfId="345" xr:uid="{00000000-0005-0000-0000-000058010000}"/>
    <cellStyle name="Millares 18" xfId="346" xr:uid="{00000000-0005-0000-0000-000059010000}"/>
    <cellStyle name="Millares 19" xfId="347" xr:uid="{00000000-0005-0000-0000-00005A010000}"/>
    <cellStyle name="Millares 2" xfId="348" xr:uid="{00000000-0005-0000-0000-00005B010000}"/>
    <cellStyle name="Millares 2 2" xfId="349" xr:uid="{00000000-0005-0000-0000-00005C010000}"/>
    <cellStyle name="Millares 20" xfId="350" xr:uid="{00000000-0005-0000-0000-00005D010000}"/>
    <cellStyle name="Millares 21" xfId="351" xr:uid="{00000000-0005-0000-0000-00005E010000}"/>
    <cellStyle name="Millares 22" xfId="352" xr:uid="{00000000-0005-0000-0000-00005F010000}"/>
    <cellStyle name="Millares 23" xfId="353" xr:uid="{00000000-0005-0000-0000-000060010000}"/>
    <cellStyle name="Millares 24" xfId="354" xr:uid="{00000000-0005-0000-0000-000061010000}"/>
    <cellStyle name="Millares 25" xfId="355" xr:uid="{00000000-0005-0000-0000-000062010000}"/>
    <cellStyle name="Millares 26" xfId="356" xr:uid="{00000000-0005-0000-0000-000063010000}"/>
    <cellStyle name="Millares 27" xfId="357" xr:uid="{00000000-0005-0000-0000-000064010000}"/>
    <cellStyle name="Millares 28" xfId="358" xr:uid="{00000000-0005-0000-0000-000065010000}"/>
    <cellStyle name="Millares 29" xfId="359" xr:uid="{00000000-0005-0000-0000-000066010000}"/>
    <cellStyle name="Millares 3" xfId="360" xr:uid="{00000000-0005-0000-0000-000067010000}"/>
    <cellStyle name="Millares 30" xfId="361" xr:uid="{00000000-0005-0000-0000-000068010000}"/>
    <cellStyle name="Millares 31" xfId="362" xr:uid="{00000000-0005-0000-0000-000069010000}"/>
    <cellStyle name="Millares 32" xfId="363" xr:uid="{00000000-0005-0000-0000-00006A010000}"/>
    <cellStyle name="Millares 32 2" xfId="538" xr:uid="{00000000-0005-0000-0000-00006B010000}"/>
    <cellStyle name="Millares 33" xfId="540" xr:uid="{E095C2E0-2625-448D-BE32-527F9D045525}"/>
    <cellStyle name="Millares 34" xfId="541" xr:uid="{81D418B9-13EC-40B0-B8D5-5E46F90D55D2}"/>
    <cellStyle name="Millares 35" xfId="542" xr:uid="{250513B9-4C48-492B-AEB1-73ED23979A63}"/>
    <cellStyle name="Millares 36" xfId="544" xr:uid="{EB8F49E7-847A-4DDF-B48E-836D0CD1C3E3}"/>
    <cellStyle name="Millares 37" xfId="545" xr:uid="{92C94B4F-3E29-4FEC-8D2B-52A57B430D1C}"/>
    <cellStyle name="Millares 38" xfId="547" xr:uid="{BC776245-FFAB-4790-BADF-D2313DE4635F}"/>
    <cellStyle name="Millares 39" xfId="548" xr:uid="{5898FCBF-D3D9-4BCF-902F-C84DD8FB94D9}"/>
    <cellStyle name="Millares 4" xfId="364" xr:uid="{00000000-0005-0000-0000-00006C010000}"/>
    <cellStyle name="Millares 4 2" xfId="365" xr:uid="{00000000-0005-0000-0000-00006D010000}"/>
    <cellStyle name="Millares 40" xfId="549" xr:uid="{FDBF9113-F636-457A-8889-19DA2C1A8429}"/>
    <cellStyle name="Millares 41" xfId="552" xr:uid="{0EF1ECD4-0389-4B22-883C-BCB12DB67700}"/>
    <cellStyle name="Millares 42" xfId="554" xr:uid="{6E659C1A-312E-452A-9D66-0E033C889299}"/>
    <cellStyle name="Millares 5" xfId="366" xr:uid="{00000000-0005-0000-0000-00006E010000}"/>
    <cellStyle name="Millares 6" xfId="367" xr:uid="{00000000-0005-0000-0000-00006F010000}"/>
    <cellStyle name="Millares 7" xfId="368" xr:uid="{00000000-0005-0000-0000-000070010000}"/>
    <cellStyle name="Millares 8" xfId="369" xr:uid="{00000000-0005-0000-0000-000071010000}"/>
    <cellStyle name="Millares 9" xfId="370" xr:uid="{00000000-0005-0000-0000-000072010000}"/>
    <cellStyle name="Moneda" xfId="550" builtinId="4"/>
    <cellStyle name="Neutral" xfId="371" builtinId="28" customBuiltin="1"/>
    <cellStyle name="Neutral 2" xfId="372" xr:uid="{00000000-0005-0000-0000-000074010000}"/>
    <cellStyle name="Neutral 2 2" xfId="373" xr:uid="{00000000-0005-0000-0000-000075010000}"/>
    <cellStyle name="Neutral 3" xfId="374" xr:uid="{00000000-0005-0000-0000-000076010000}"/>
    <cellStyle name="Neutral 4" xfId="375" xr:uid="{00000000-0005-0000-0000-000077010000}"/>
    <cellStyle name="Neutral 5" xfId="376" xr:uid="{00000000-0005-0000-0000-000078010000}"/>
    <cellStyle name="Neutral 6" xfId="377" xr:uid="{00000000-0005-0000-0000-000079010000}"/>
    <cellStyle name="Neutral 7" xfId="378" xr:uid="{00000000-0005-0000-0000-00007A010000}"/>
    <cellStyle name="Normal" xfId="0" builtinId="0"/>
    <cellStyle name="Normal 10" xfId="379" xr:uid="{00000000-0005-0000-0000-00007C010000}"/>
    <cellStyle name="Normal 11" xfId="380" xr:uid="{00000000-0005-0000-0000-00007D010000}"/>
    <cellStyle name="Normal 11 2" xfId="381" xr:uid="{00000000-0005-0000-0000-00007E010000}"/>
    <cellStyle name="Normal 11 3" xfId="382" xr:uid="{00000000-0005-0000-0000-00007F010000}"/>
    <cellStyle name="Normal 12" xfId="383" xr:uid="{00000000-0005-0000-0000-000080010000}"/>
    <cellStyle name="Normal 12 2" xfId="384" xr:uid="{00000000-0005-0000-0000-000081010000}"/>
    <cellStyle name="Normal 12 3" xfId="385" xr:uid="{00000000-0005-0000-0000-000082010000}"/>
    <cellStyle name="Normal 13" xfId="386" xr:uid="{00000000-0005-0000-0000-000083010000}"/>
    <cellStyle name="Normal 14" xfId="387" xr:uid="{00000000-0005-0000-0000-000084010000}"/>
    <cellStyle name="Normal 14 2" xfId="388" xr:uid="{00000000-0005-0000-0000-000085010000}"/>
    <cellStyle name="Normal 14 3" xfId="389" xr:uid="{00000000-0005-0000-0000-000086010000}"/>
    <cellStyle name="Normal 15" xfId="390" xr:uid="{00000000-0005-0000-0000-000087010000}"/>
    <cellStyle name="Normal 15 2" xfId="537" xr:uid="{00000000-0005-0000-0000-000088010000}"/>
    <cellStyle name="Normal 16" xfId="391" xr:uid="{00000000-0005-0000-0000-000089010000}"/>
    <cellStyle name="Normal 17" xfId="392" xr:uid="{00000000-0005-0000-0000-00008A010000}"/>
    <cellStyle name="Normal 18" xfId="393" xr:uid="{00000000-0005-0000-0000-00008B010000}"/>
    <cellStyle name="Normal 19" xfId="394" xr:uid="{00000000-0005-0000-0000-00008C010000}"/>
    <cellStyle name="Normal 19 2" xfId="395" xr:uid="{00000000-0005-0000-0000-00008D010000}"/>
    <cellStyle name="Normal 19 3" xfId="396" xr:uid="{00000000-0005-0000-0000-00008E010000}"/>
    <cellStyle name="Normal 19 3 2" xfId="397" xr:uid="{00000000-0005-0000-0000-00008F010000}"/>
    <cellStyle name="Normal 19 4" xfId="398" xr:uid="{00000000-0005-0000-0000-000090010000}"/>
    <cellStyle name="Normal 2" xfId="399" xr:uid="{00000000-0005-0000-0000-000091010000}"/>
    <cellStyle name="Normal 2 2" xfId="400" xr:uid="{00000000-0005-0000-0000-000092010000}"/>
    <cellStyle name="Normal 20" xfId="401" xr:uid="{00000000-0005-0000-0000-000093010000}"/>
    <cellStyle name="Normal 20 2" xfId="402" xr:uid="{00000000-0005-0000-0000-000094010000}"/>
    <cellStyle name="Normal 21" xfId="403" xr:uid="{00000000-0005-0000-0000-000095010000}"/>
    <cellStyle name="Normal 22" xfId="404" xr:uid="{00000000-0005-0000-0000-000096010000}"/>
    <cellStyle name="Normal 22 2" xfId="405" xr:uid="{00000000-0005-0000-0000-000097010000}"/>
    <cellStyle name="Normal 23" xfId="406" xr:uid="{00000000-0005-0000-0000-000098010000}"/>
    <cellStyle name="Normal 23 2" xfId="407" xr:uid="{00000000-0005-0000-0000-000099010000}"/>
    <cellStyle name="Normal 24" xfId="408" xr:uid="{00000000-0005-0000-0000-00009A010000}"/>
    <cellStyle name="Normal 24 2" xfId="409" xr:uid="{00000000-0005-0000-0000-00009B010000}"/>
    <cellStyle name="Normal 25" xfId="410" xr:uid="{00000000-0005-0000-0000-00009C010000}"/>
    <cellStyle name="Normal 25 2" xfId="411" xr:uid="{00000000-0005-0000-0000-00009D010000}"/>
    <cellStyle name="Normal 26" xfId="412" xr:uid="{00000000-0005-0000-0000-00009E010000}"/>
    <cellStyle name="Normal 26 2" xfId="413" xr:uid="{00000000-0005-0000-0000-00009F010000}"/>
    <cellStyle name="Normal 27" xfId="414" xr:uid="{00000000-0005-0000-0000-0000A0010000}"/>
    <cellStyle name="Normal 27 2" xfId="415" xr:uid="{00000000-0005-0000-0000-0000A1010000}"/>
    <cellStyle name="Normal 28" xfId="416" xr:uid="{00000000-0005-0000-0000-0000A2010000}"/>
    <cellStyle name="Normal 29" xfId="417" xr:uid="{00000000-0005-0000-0000-0000A3010000}"/>
    <cellStyle name="Normal 29 2" xfId="418" xr:uid="{00000000-0005-0000-0000-0000A4010000}"/>
    <cellStyle name="Normal 3" xfId="419" xr:uid="{00000000-0005-0000-0000-0000A5010000}"/>
    <cellStyle name="Normal 3 2" xfId="420" xr:uid="{00000000-0005-0000-0000-0000A6010000}"/>
    <cellStyle name="Normal 3 3" xfId="421" xr:uid="{00000000-0005-0000-0000-0000A7010000}"/>
    <cellStyle name="Normal 3 4" xfId="422" xr:uid="{00000000-0005-0000-0000-0000A8010000}"/>
    <cellStyle name="Normal 30" xfId="423" xr:uid="{00000000-0005-0000-0000-0000A9010000}"/>
    <cellStyle name="Normal 30 2" xfId="424" xr:uid="{00000000-0005-0000-0000-0000AA010000}"/>
    <cellStyle name="Normal 31" xfId="425" xr:uid="{00000000-0005-0000-0000-0000AB010000}"/>
    <cellStyle name="Normal 31 2" xfId="426" xr:uid="{00000000-0005-0000-0000-0000AC010000}"/>
    <cellStyle name="Normal 32" xfId="427" xr:uid="{00000000-0005-0000-0000-0000AD010000}"/>
    <cellStyle name="Normal 32 2" xfId="428" xr:uid="{00000000-0005-0000-0000-0000AE010000}"/>
    <cellStyle name="Normal 33" xfId="429" xr:uid="{00000000-0005-0000-0000-0000AF010000}"/>
    <cellStyle name="Normal 33 2" xfId="430" xr:uid="{00000000-0005-0000-0000-0000B0010000}"/>
    <cellStyle name="Normal 34" xfId="431" xr:uid="{00000000-0005-0000-0000-0000B1010000}"/>
    <cellStyle name="Normal 35" xfId="432" xr:uid="{00000000-0005-0000-0000-0000B2010000}"/>
    <cellStyle name="Normal 36" xfId="539" xr:uid="{7E3BCFC4-4DAC-40EE-BBF5-74EEA71E0B85}"/>
    <cellStyle name="Normal 37" xfId="543" xr:uid="{38B0BBA8-D583-4317-8D90-010B89F1E889}"/>
    <cellStyle name="Normal 38" xfId="546" xr:uid="{89432307-941E-4709-B5DB-FC447C7642CD}"/>
    <cellStyle name="Normal 39" xfId="551" xr:uid="{3B350C39-FA47-4AE5-A229-75E30F298B43}"/>
    <cellStyle name="Normal 4" xfId="433" xr:uid="{00000000-0005-0000-0000-0000B3010000}"/>
    <cellStyle name="Normal 4 2" xfId="434" xr:uid="{00000000-0005-0000-0000-0000B4010000}"/>
    <cellStyle name="Normal 4 3" xfId="435" xr:uid="{00000000-0005-0000-0000-0000B5010000}"/>
    <cellStyle name="Normal 40" xfId="553" xr:uid="{4DB08414-C6AE-434C-BF2C-13BA7A67D089}"/>
    <cellStyle name="Normal 5" xfId="436" xr:uid="{00000000-0005-0000-0000-0000B6010000}"/>
    <cellStyle name="Normal 5 2" xfId="437" xr:uid="{00000000-0005-0000-0000-0000B7010000}"/>
    <cellStyle name="Normal 5 3" xfId="438" xr:uid="{00000000-0005-0000-0000-0000B8010000}"/>
    <cellStyle name="Normal 6" xfId="439" xr:uid="{00000000-0005-0000-0000-0000B9010000}"/>
    <cellStyle name="Normal 6 2" xfId="440" xr:uid="{00000000-0005-0000-0000-0000BA010000}"/>
    <cellStyle name="Normal 6 3" xfId="441" xr:uid="{00000000-0005-0000-0000-0000BB010000}"/>
    <cellStyle name="Normal 7" xfId="442" xr:uid="{00000000-0005-0000-0000-0000BC010000}"/>
    <cellStyle name="Normal 7 2" xfId="443" xr:uid="{00000000-0005-0000-0000-0000BD010000}"/>
    <cellStyle name="Normal 7 3" xfId="444" xr:uid="{00000000-0005-0000-0000-0000BE010000}"/>
    <cellStyle name="Normal 8" xfId="445" xr:uid="{00000000-0005-0000-0000-0000BF010000}"/>
    <cellStyle name="Normal 9" xfId="446" xr:uid="{00000000-0005-0000-0000-0000C0010000}"/>
    <cellStyle name="Normal_INFORMES_septiembre_06_1_" xfId="447" xr:uid="{00000000-0005-0000-0000-0000C1010000}"/>
    <cellStyle name="Normal_Proyecc_Cart_NUEVA_dic_08_Esce_Moderado" xfId="448" xr:uid="{00000000-0005-0000-0000-0000C2010000}"/>
    <cellStyle name="Normal_Proyeccion_2009_A" xfId="449" xr:uid="{00000000-0005-0000-0000-0000C3010000}"/>
    <cellStyle name="Notas" xfId="450" builtinId="10" customBuiltin="1"/>
    <cellStyle name="Notas 2" xfId="451" xr:uid="{00000000-0005-0000-0000-0000C5010000}"/>
    <cellStyle name="Notas 2 2" xfId="452" xr:uid="{00000000-0005-0000-0000-0000C6010000}"/>
    <cellStyle name="Notas 3" xfId="453" xr:uid="{00000000-0005-0000-0000-0000C7010000}"/>
    <cellStyle name="Notas 4" xfId="454" xr:uid="{00000000-0005-0000-0000-0000C8010000}"/>
    <cellStyle name="Notas 5" xfId="455" xr:uid="{00000000-0005-0000-0000-0000C9010000}"/>
    <cellStyle name="Notas 6" xfId="456" xr:uid="{00000000-0005-0000-0000-0000CA010000}"/>
    <cellStyle name="Notas 7" xfId="457" xr:uid="{00000000-0005-0000-0000-0000CB010000}"/>
    <cellStyle name="Porcentaje" xfId="458" builtinId="5"/>
    <cellStyle name="Porcentual 2" xfId="459" xr:uid="{00000000-0005-0000-0000-0000CD010000}"/>
    <cellStyle name="Porcentual 2 2" xfId="460" xr:uid="{00000000-0005-0000-0000-0000CE010000}"/>
    <cellStyle name="Porcentual 2 2 2" xfId="461" xr:uid="{00000000-0005-0000-0000-0000CF010000}"/>
    <cellStyle name="Porcentual 2 2 3" xfId="462" xr:uid="{00000000-0005-0000-0000-0000D0010000}"/>
    <cellStyle name="Porcentual 2 2 3 2" xfId="463" xr:uid="{00000000-0005-0000-0000-0000D1010000}"/>
    <cellStyle name="Porcentual 2 3" xfId="464" xr:uid="{00000000-0005-0000-0000-0000D2010000}"/>
    <cellStyle name="Porcentual 2 4" xfId="465" xr:uid="{00000000-0005-0000-0000-0000D3010000}"/>
    <cellStyle name="Porcentual 2 4 2" xfId="466" xr:uid="{00000000-0005-0000-0000-0000D4010000}"/>
    <cellStyle name="Porcentual 2 5" xfId="467" xr:uid="{00000000-0005-0000-0000-0000D5010000}"/>
    <cellStyle name="Porcentual 2 6" xfId="468" xr:uid="{00000000-0005-0000-0000-0000D6010000}"/>
    <cellStyle name="Porcentual 3" xfId="469" xr:uid="{00000000-0005-0000-0000-0000D7010000}"/>
    <cellStyle name="Porcentual 4" xfId="470" xr:uid="{00000000-0005-0000-0000-0000D8010000}"/>
    <cellStyle name="Porcentual 5" xfId="471" xr:uid="{00000000-0005-0000-0000-0000D9010000}"/>
    <cellStyle name="Porcentual 6" xfId="472" xr:uid="{00000000-0005-0000-0000-0000DA010000}"/>
    <cellStyle name="Salida" xfId="473" builtinId="21" customBuiltin="1"/>
    <cellStyle name="Salida 2" xfId="474" xr:uid="{00000000-0005-0000-0000-0000DC010000}"/>
    <cellStyle name="Salida 2 2" xfId="475" xr:uid="{00000000-0005-0000-0000-0000DD010000}"/>
    <cellStyle name="Salida 3" xfId="476" xr:uid="{00000000-0005-0000-0000-0000DE010000}"/>
    <cellStyle name="Salida 4" xfId="477" xr:uid="{00000000-0005-0000-0000-0000DF010000}"/>
    <cellStyle name="Salida 5" xfId="478" xr:uid="{00000000-0005-0000-0000-0000E0010000}"/>
    <cellStyle name="Salida 6" xfId="479" xr:uid="{00000000-0005-0000-0000-0000E1010000}"/>
    <cellStyle name="Salida 7" xfId="480" xr:uid="{00000000-0005-0000-0000-0000E2010000}"/>
    <cellStyle name="Texto de advertencia" xfId="481" builtinId="11" customBuiltin="1"/>
    <cellStyle name="Texto de advertencia 2" xfId="482" xr:uid="{00000000-0005-0000-0000-0000E4010000}"/>
    <cellStyle name="Texto de advertencia 2 2" xfId="483" xr:uid="{00000000-0005-0000-0000-0000E5010000}"/>
    <cellStyle name="Texto de advertencia 3" xfId="484" xr:uid="{00000000-0005-0000-0000-0000E6010000}"/>
    <cellStyle name="Texto de advertencia 4" xfId="485" xr:uid="{00000000-0005-0000-0000-0000E7010000}"/>
    <cellStyle name="Texto de advertencia 5" xfId="486" xr:uid="{00000000-0005-0000-0000-0000E8010000}"/>
    <cellStyle name="Texto de advertencia 6" xfId="487" xr:uid="{00000000-0005-0000-0000-0000E9010000}"/>
    <cellStyle name="Texto de advertencia 7" xfId="488" xr:uid="{00000000-0005-0000-0000-0000EA010000}"/>
    <cellStyle name="Texto explicativo" xfId="489" builtinId="53" customBuiltin="1"/>
    <cellStyle name="Texto explicativo 2" xfId="490" xr:uid="{00000000-0005-0000-0000-0000EC010000}"/>
    <cellStyle name="Texto explicativo 2 2" xfId="491" xr:uid="{00000000-0005-0000-0000-0000ED010000}"/>
    <cellStyle name="Texto explicativo 3" xfId="492" xr:uid="{00000000-0005-0000-0000-0000EE010000}"/>
    <cellStyle name="Texto explicativo 4" xfId="493" xr:uid="{00000000-0005-0000-0000-0000EF010000}"/>
    <cellStyle name="Texto explicativo 5" xfId="494" xr:uid="{00000000-0005-0000-0000-0000F0010000}"/>
    <cellStyle name="Texto explicativo 6" xfId="495" xr:uid="{00000000-0005-0000-0000-0000F1010000}"/>
    <cellStyle name="Texto explicativo 7" xfId="496" xr:uid="{00000000-0005-0000-0000-0000F2010000}"/>
    <cellStyle name="Título" xfId="497" builtinId="15" customBuiltin="1"/>
    <cellStyle name="Título 1 2" xfId="498" xr:uid="{00000000-0005-0000-0000-0000F4010000}"/>
    <cellStyle name="Título 1 2 2" xfId="499" xr:uid="{00000000-0005-0000-0000-0000F5010000}"/>
    <cellStyle name="Título 1 3" xfId="500" xr:uid="{00000000-0005-0000-0000-0000F6010000}"/>
    <cellStyle name="Título 1 4" xfId="501" xr:uid="{00000000-0005-0000-0000-0000F7010000}"/>
    <cellStyle name="Título 1 5" xfId="502" xr:uid="{00000000-0005-0000-0000-0000F8010000}"/>
    <cellStyle name="Título 1 6" xfId="503" xr:uid="{00000000-0005-0000-0000-0000F9010000}"/>
    <cellStyle name="Título 2" xfId="504" builtinId="17" customBuiltin="1"/>
    <cellStyle name="Título 2 2" xfId="505" xr:uid="{00000000-0005-0000-0000-0000FB010000}"/>
    <cellStyle name="Título 2 2 2" xfId="506" xr:uid="{00000000-0005-0000-0000-0000FC010000}"/>
    <cellStyle name="Título 2 2 3" xfId="507" xr:uid="{00000000-0005-0000-0000-0000FD010000}"/>
    <cellStyle name="Título 2 3" xfId="508" xr:uid="{00000000-0005-0000-0000-0000FE010000}"/>
    <cellStyle name="Título 2 4" xfId="509" xr:uid="{00000000-0005-0000-0000-0000FF010000}"/>
    <cellStyle name="Título 2 5" xfId="510" xr:uid="{00000000-0005-0000-0000-000000020000}"/>
    <cellStyle name="Título 2 6" xfId="511" xr:uid="{00000000-0005-0000-0000-000001020000}"/>
    <cellStyle name="Título 2 7" xfId="512" xr:uid="{00000000-0005-0000-0000-000002020000}"/>
    <cellStyle name="Título 3" xfId="513" builtinId="18" customBuiltin="1"/>
    <cellStyle name="Título 3 2" xfId="514" xr:uid="{00000000-0005-0000-0000-000004020000}"/>
    <cellStyle name="Título 3 2 2" xfId="515" xr:uid="{00000000-0005-0000-0000-000005020000}"/>
    <cellStyle name="Título 3 2 3" xfId="516" xr:uid="{00000000-0005-0000-0000-000006020000}"/>
    <cellStyle name="Título 3 3" xfId="517" xr:uid="{00000000-0005-0000-0000-000007020000}"/>
    <cellStyle name="Título 3 4" xfId="518" xr:uid="{00000000-0005-0000-0000-000008020000}"/>
    <cellStyle name="Título 3 5" xfId="519" xr:uid="{00000000-0005-0000-0000-000009020000}"/>
    <cellStyle name="Título 3 6" xfId="520" xr:uid="{00000000-0005-0000-0000-00000A020000}"/>
    <cellStyle name="Título 3 7" xfId="521" xr:uid="{00000000-0005-0000-0000-00000B020000}"/>
    <cellStyle name="Título 4" xfId="522" xr:uid="{00000000-0005-0000-0000-00000C020000}"/>
    <cellStyle name="Título 4 2" xfId="523" xr:uid="{00000000-0005-0000-0000-00000D020000}"/>
    <cellStyle name="Título 5" xfId="524" xr:uid="{00000000-0005-0000-0000-00000E020000}"/>
    <cellStyle name="Título 6" xfId="525" xr:uid="{00000000-0005-0000-0000-00000F020000}"/>
    <cellStyle name="Título 7" xfId="526" xr:uid="{00000000-0005-0000-0000-000010020000}"/>
    <cellStyle name="Título 8" xfId="527" xr:uid="{00000000-0005-0000-0000-000011020000}"/>
    <cellStyle name="Título 9" xfId="528" xr:uid="{00000000-0005-0000-0000-000012020000}"/>
    <cellStyle name="Total" xfId="529" builtinId="25" customBuiltin="1"/>
    <cellStyle name="Total 2" xfId="530" xr:uid="{00000000-0005-0000-0000-000014020000}"/>
    <cellStyle name="Total 2 2" xfId="531" xr:uid="{00000000-0005-0000-0000-000015020000}"/>
    <cellStyle name="Total 3" xfId="532" xr:uid="{00000000-0005-0000-0000-000016020000}"/>
    <cellStyle name="Total 4" xfId="533" xr:uid="{00000000-0005-0000-0000-000017020000}"/>
    <cellStyle name="Total 5" xfId="534" xr:uid="{00000000-0005-0000-0000-000018020000}"/>
    <cellStyle name="Total 6" xfId="535" xr:uid="{00000000-0005-0000-0000-000019020000}"/>
    <cellStyle name="Total 7" xfId="536" xr:uid="{00000000-0005-0000-0000-00001A020000}"/>
  </cellStyles>
  <dxfs count="9">
    <dxf>
      <font>
        <color auto="1"/>
      </font>
      <fill>
        <patternFill>
          <bgColor rgb="FF92D050"/>
        </patternFill>
      </fill>
    </dxf>
    <dxf>
      <fill>
        <patternFill>
          <bgColor rgb="FFFFFF00"/>
        </patternFill>
      </fill>
    </dxf>
    <dxf>
      <fill>
        <patternFill>
          <bgColor rgb="FFFF0000"/>
        </patternFill>
      </fill>
    </dxf>
    <dxf>
      <font>
        <color auto="1"/>
      </font>
      <fill>
        <patternFill>
          <bgColor rgb="FF92D050"/>
        </patternFill>
      </fill>
    </dxf>
    <dxf>
      <fill>
        <patternFill>
          <bgColor rgb="FFFFFF00"/>
        </patternFill>
      </fill>
    </dxf>
    <dxf>
      <fill>
        <patternFill>
          <bgColor rgb="FFFF0000"/>
        </patternFill>
      </fill>
    </dxf>
    <dxf>
      <font>
        <color auto="1"/>
      </font>
      <fill>
        <patternFill>
          <bgColor rgb="FF92D050"/>
        </patternFill>
      </fill>
    </dxf>
    <dxf>
      <fill>
        <patternFill>
          <bgColor rgb="FFFFFF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6666"/>
      <rgbColor rgb="00FFFFC0"/>
      <rgbColor rgb="00A0E0E0"/>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FFCC99"/>
      <rgbColor rgb="003333CC"/>
      <rgbColor rgb="0033CCCC"/>
      <rgbColor rgb="00999933"/>
      <rgbColor rgb="00FFCC00"/>
      <rgbColor rgb="00FF9900"/>
      <rgbColor rgb="00FF6600"/>
      <rgbColor rgb="00666699"/>
      <rgbColor rgb="00969696"/>
      <rgbColor rgb="00003366"/>
      <rgbColor rgb="00339966"/>
      <rgbColor rgb="00003300"/>
      <rgbColor rgb="00333300"/>
      <rgbColor rgb="0099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857142857142956"/>
          <c:y val="4.8611111111111112E-2"/>
          <c:w val="0.55126050420168049"/>
          <c:h val="0.6145833333333337"/>
        </c:manualLayout>
      </c:layout>
      <c:lineChart>
        <c:grouping val="standard"/>
        <c:varyColors val="0"/>
        <c:ser>
          <c:idx val="0"/>
          <c:order val="0"/>
          <c:tx>
            <c:strRef>
              <c:f>Hoja5!$A$4</c:f>
              <c:strCache>
                <c:ptCount val="1"/>
                <c:pt idx="0">
                  <c:v>Saldo Cartera</c:v>
                </c:pt>
              </c:strCache>
            </c:strRef>
          </c:tx>
          <c:marker>
            <c:symbol val="none"/>
          </c:marker>
          <c:cat>
            <c:strRef>
              <c:f>Hoja5!$B$3:$J$3</c:f>
              <c:strCache>
                <c:ptCount val="9"/>
                <c:pt idx="0">
                  <c:v>Diciembre</c:v>
                </c:pt>
                <c:pt idx="1">
                  <c:v>Enero</c:v>
                </c:pt>
                <c:pt idx="2">
                  <c:v>Febrero</c:v>
                </c:pt>
                <c:pt idx="3">
                  <c:v>Marzo</c:v>
                </c:pt>
                <c:pt idx="4">
                  <c:v>Abril</c:v>
                </c:pt>
                <c:pt idx="5">
                  <c:v>Mayo</c:v>
                </c:pt>
                <c:pt idx="6">
                  <c:v>Junio</c:v>
                </c:pt>
                <c:pt idx="7">
                  <c:v>Julio</c:v>
                </c:pt>
                <c:pt idx="8">
                  <c:v>Agosto</c:v>
                </c:pt>
              </c:strCache>
            </c:strRef>
          </c:cat>
          <c:val>
            <c:numRef>
              <c:f>Hoja5!$B$4:$J$4</c:f>
              <c:numCache>
                <c:formatCode>#,##0_);[Red]\(#,##0\)</c:formatCode>
                <c:ptCount val="9"/>
                <c:pt idx="0" formatCode="#,##0\ ;&quot; -&quot;#,##0\ ;&quot; -&quot;#\ ;@\ ">
                  <c:v>8344519237.7600002</c:v>
                </c:pt>
                <c:pt idx="1">
                  <c:v>8713543565.1599998</c:v>
                </c:pt>
                <c:pt idx="2">
                  <c:v>9176606924.1499996</c:v>
                </c:pt>
                <c:pt idx="3">
                  <c:v>9427327223</c:v>
                </c:pt>
                <c:pt idx="4" formatCode="#,##0_);\(#,##0\)">
                  <c:v>9568593061.1499996</c:v>
                </c:pt>
                <c:pt idx="5">
                  <c:v>9860676672.1499996</c:v>
                </c:pt>
                <c:pt idx="6">
                  <c:v>9997181755.3500004</c:v>
                </c:pt>
                <c:pt idx="7" formatCode="#,##0_);\(#,##0\)">
                  <c:v>10537062005.35</c:v>
                </c:pt>
                <c:pt idx="8" formatCode="#,##0_);\(#,##0\)">
                  <c:v>10717062005.35</c:v>
                </c:pt>
              </c:numCache>
            </c:numRef>
          </c:val>
          <c:smooth val="0"/>
          <c:extLst>
            <c:ext xmlns:c16="http://schemas.microsoft.com/office/drawing/2014/chart" uri="{C3380CC4-5D6E-409C-BE32-E72D297353CC}">
              <c16:uniqueId val="{00000000-81F2-4A54-A12D-C894D9B532D5}"/>
            </c:ext>
          </c:extLst>
        </c:ser>
        <c:ser>
          <c:idx val="1"/>
          <c:order val="1"/>
          <c:tx>
            <c:strRef>
              <c:f>Hoja5!$A$5</c:f>
              <c:strCache>
                <c:ptCount val="1"/>
                <c:pt idx="0">
                  <c:v>Saldo Depositos</c:v>
                </c:pt>
              </c:strCache>
            </c:strRef>
          </c:tx>
          <c:marker>
            <c:symbol val="none"/>
          </c:marker>
          <c:cat>
            <c:strRef>
              <c:f>Hoja5!$B$3:$J$3</c:f>
              <c:strCache>
                <c:ptCount val="9"/>
                <c:pt idx="0">
                  <c:v>Diciembre</c:v>
                </c:pt>
                <c:pt idx="1">
                  <c:v>Enero</c:v>
                </c:pt>
                <c:pt idx="2">
                  <c:v>Febrero</c:v>
                </c:pt>
                <c:pt idx="3">
                  <c:v>Marzo</c:v>
                </c:pt>
                <c:pt idx="4">
                  <c:v>Abril</c:v>
                </c:pt>
                <c:pt idx="5">
                  <c:v>Mayo</c:v>
                </c:pt>
                <c:pt idx="6">
                  <c:v>Junio</c:v>
                </c:pt>
                <c:pt idx="7">
                  <c:v>Julio</c:v>
                </c:pt>
                <c:pt idx="8">
                  <c:v>Agosto</c:v>
                </c:pt>
              </c:strCache>
            </c:strRef>
          </c:cat>
          <c:val>
            <c:numRef>
              <c:f>Hoja5!$B$5:$J$5</c:f>
              <c:numCache>
                <c:formatCode>#,##0_);[Red]\(#,##0\)</c:formatCode>
                <c:ptCount val="9"/>
                <c:pt idx="0" formatCode="#,##0\ ;&quot; -&quot;#,##0\ ;&quot; -&quot;#\ ;@\ ">
                  <c:v>6197469334.9200001</c:v>
                </c:pt>
                <c:pt idx="1">
                  <c:v>6329755550.9099998</c:v>
                </c:pt>
                <c:pt idx="2" formatCode="#,##0_);\(#,##0\)">
                  <c:v>6330333113.8799992</c:v>
                </c:pt>
                <c:pt idx="3" formatCode="#,##0_);\(#,##0\)">
                  <c:v>6432393168.4099998</c:v>
                </c:pt>
                <c:pt idx="4" formatCode="#,##0_);\(#,##0\)">
                  <c:v>6476328920.1199999</c:v>
                </c:pt>
                <c:pt idx="5">
                  <c:v>6517455004.9200001</c:v>
                </c:pt>
                <c:pt idx="6">
                  <c:v>6617318277.6199999</c:v>
                </c:pt>
                <c:pt idx="7">
                  <c:v>6699131708.3199997</c:v>
                </c:pt>
                <c:pt idx="8">
                  <c:v>6099131708.3199997</c:v>
                </c:pt>
              </c:numCache>
            </c:numRef>
          </c:val>
          <c:smooth val="0"/>
          <c:extLst>
            <c:ext xmlns:c16="http://schemas.microsoft.com/office/drawing/2014/chart" uri="{C3380CC4-5D6E-409C-BE32-E72D297353CC}">
              <c16:uniqueId val="{00000001-81F2-4A54-A12D-C894D9B532D5}"/>
            </c:ext>
          </c:extLst>
        </c:ser>
        <c:dLbls>
          <c:showLegendKey val="0"/>
          <c:showVal val="0"/>
          <c:showCatName val="0"/>
          <c:showSerName val="0"/>
          <c:showPercent val="0"/>
          <c:showBubbleSize val="0"/>
        </c:dLbls>
        <c:dropLines/>
        <c:smooth val="0"/>
        <c:axId val="91372928"/>
        <c:axId val="91379200"/>
      </c:lineChart>
      <c:catAx>
        <c:axId val="91372928"/>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s-CO"/>
                  <a:t>Comportamiento mensual año 2012</a:t>
                </a:r>
              </a:p>
            </c:rich>
          </c:tx>
          <c:overlay val="0"/>
        </c:title>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O"/>
          </a:p>
        </c:txPr>
        <c:crossAx val="91379200"/>
        <c:crosses val="autoZero"/>
        <c:auto val="1"/>
        <c:lblAlgn val="ctr"/>
        <c:lblOffset val="100"/>
        <c:noMultiLvlLbl val="0"/>
      </c:catAx>
      <c:valAx>
        <c:axId val="91379200"/>
        <c:scaling>
          <c:orientation val="minMax"/>
        </c:scaling>
        <c:delete val="0"/>
        <c:axPos val="l"/>
        <c:majorGridlines/>
        <c:title>
          <c:overlay val="0"/>
          <c:txPr>
            <a:bodyPr/>
            <a:lstStyle/>
            <a:p>
              <a:pPr>
                <a:defRPr sz="1000" b="1" i="0" u="none" strike="noStrike" baseline="0">
                  <a:solidFill>
                    <a:srgbClr val="000000"/>
                  </a:solidFill>
                  <a:latin typeface="Calibri"/>
                  <a:ea typeface="Calibri"/>
                  <a:cs typeface="Calibri"/>
                </a:defRPr>
              </a:pPr>
              <a:endParaRPr lang="es-CO"/>
            </a:p>
          </c:txPr>
        </c:title>
        <c:numFmt formatCode="#,##0\ ;&quot; -&quot;#,##0\ ;&quot; -&quot;#\ ;@\ "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91372928"/>
        <c:crosses val="autoZero"/>
        <c:crossBetween val="between"/>
      </c:valAx>
    </c:plotArea>
    <c:legend>
      <c:legendPos val="r"/>
      <c:layout>
        <c:manualLayout>
          <c:xMode val="edge"/>
          <c:yMode val="edge"/>
          <c:x val="0.77815196629833361"/>
          <c:y val="0.43402923592884507"/>
          <c:w val="0.20000017644852885"/>
          <c:h val="0.15972258675998979"/>
        </c:manualLayout>
      </c:layout>
      <c:overlay val="0"/>
      <c:txPr>
        <a:bodyPr/>
        <a:lstStyle/>
        <a:p>
          <a:pPr>
            <a:defRPr sz="18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344" l="0.70000000000000062" r="0.70000000000000062" t="0.750000000000003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2191235059761"/>
          <c:y val="4.8611111111111112E-2"/>
          <c:w val="0.5836653386454187"/>
          <c:h val="0.88194444444444464"/>
        </c:manualLayout>
      </c:layout>
      <c:lineChart>
        <c:grouping val="standard"/>
        <c:varyColors val="0"/>
        <c:ser>
          <c:idx val="0"/>
          <c:order val="0"/>
          <c:tx>
            <c:strRef>
              <c:f>Hoja5!$A$15</c:f>
              <c:strCache>
                <c:ptCount val="1"/>
                <c:pt idx="0">
                  <c:v>Saldo Cartera</c:v>
                </c:pt>
              </c:strCache>
            </c:strRef>
          </c:tx>
          <c:marker>
            <c:symbol val="none"/>
          </c:marker>
          <c:cat>
            <c:strRef>
              <c:f>Hoja5!$B$14:$I$14</c:f>
              <c:strCache>
                <c:ptCount val="8"/>
                <c:pt idx="0">
                  <c:v>Enero</c:v>
                </c:pt>
                <c:pt idx="1">
                  <c:v>Febrero</c:v>
                </c:pt>
                <c:pt idx="2">
                  <c:v>Marzo</c:v>
                </c:pt>
                <c:pt idx="3">
                  <c:v>Abril</c:v>
                </c:pt>
                <c:pt idx="4">
                  <c:v>Mayo</c:v>
                </c:pt>
                <c:pt idx="5">
                  <c:v>Junio</c:v>
                </c:pt>
                <c:pt idx="6">
                  <c:v>Julio</c:v>
                </c:pt>
                <c:pt idx="7">
                  <c:v>Agosto</c:v>
                </c:pt>
              </c:strCache>
            </c:strRef>
          </c:cat>
          <c:val>
            <c:numRef>
              <c:f>Hoja5!$B$15:$I$15</c:f>
              <c:numCache>
                <c:formatCode>0.00%</c:formatCode>
                <c:ptCount val="8"/>
                <c:pt idx="0">
                  <c:v>4.4223557629314111E-2</c:v>
                </c:pt>
                <c:pt idx="1">
                  <c:v>9.971667182750299E-2</c:v>
                </c:pt>
                <c:pt idx="2">
                  <c:v>0.12976277654680898</c:v>
                </c:pt>
                <c:pt idx="3">
                  <c:v>0.14669195294690091</c:v>
                </c:pt>
                <c:pt idx="4">
                  <c:v>0.18169500137637601</c:v>
                </c:pt>
                <c:pt idx="5">
                  <c:v>0.19805365300273911</c:v>
                </c:pt>
                <c:pt idx="6">
                  <c:v>0.26275243727265535</c:v>
                </c:pt>
                <c:pt idx="7">
                  <c:v>0.28432348227492188</c:v>
                </c:pt>
              </c:numCache>
            </c:numRef>
          </c:val>
          <c:smooth val="0"/>
          <c:extLst>
            <c:ext xmlns:c16="http://schemas.microsoft.com/office/drawing/2014/chart" uri="{C3380CC4-5D6E-409C-BE32-E72D297353CC}">
              <c16:uniqueId val="{00000000-3AB2-453F-879E-47F0A6080DF5}"/>
            </c:ext>
          </c:extLst>
        </c:ser>
        <c:ser>
          <c:idx val="1"/>
          <c:order val="1"/>
          <c:tx>
            <c:strRef>
              <c:f>Hoja5!$A$16</c:f>
              <c:strCache>
                <c:ptCount val="1"/>
                <c:pt idx="0">
                  <c:v>Saldo Depositos</c:v>
                </c:pt>
              </c:strCache>
            </c:strRef>
          </c:tx>
          <c:marker>
            <c:symbol val="none"/>
          </c:marker>
          <c:cat>
            <c:strRef>
              <c:f>Hoja5!$B$14:$I$14</c:f>
              <c:strCache>
                <c:ptCount val="8"/>
                <c:pt idx="0">
                  <c:v>Enero</c:v>
                </c:pt>
                <c:pt idx="1">
                  <c:v>Febrero</c:v>
                </c:pt>
                <c:pt idx="2">
                  <c:v>Marzo</c:v>
                </c:pt>
                <c:pt idx="3">
                  <c:v>Abril</c:v>
                </c:pt>
                <c:pt idx="4">
                  <c:v>Mayo</c:v>
                </c:pt>
                <c:pt idx="5">
                  <c:v>Junio</c:v>
                </c:pt>
                <c:pt idx="6">
                  <c:v>Julio</c:v>
                </c:pt>
                <c:pt idx="7">
                  <c:v>Agosto</c:v>
                </c:pt>
              </c:strCache>
            </c:strRef>
          </c:cat>
          <c:val>
            <c:numRef>
              <c:f>Hoja5!$B$16:$I$16</c:f>
              <c:numCache>
                <c:formatCode>0.00%</c:formatCode>
                <c:ptCount val="8"/>
                <c:pt idx="0">
                  <c:v>2.1345198958004588E-2</c:v>
                </c:pt>
                <c:pt idx="1">
                  <c:v>2.1438392314645338E-2</c:v>
                </c:pt>
                <c:pt idx="2">
                  <c:v>3.790641321390778E-2</c:v>
                </c:pt>
                <c:pt idx="3">
                  <c:v>4.499571843441795E-2</c:v>
                </c:pt>
                <c:pt idx="4">
                  <c:v>5.1631666525080194E-2</c:v>
                </c:pt>
                <c:pt idx="5">
                  <c:v>6.774522309200251E-2</c:v>
                </c:pt>
                <c:pt idx="6">
                  <c:v>8.0946326038816185E-2</c:v>
                </c:pt>
                <c:pt idx="7">
                  <c:v>-1.5867384134667893E-2</c:v>
                </c:pt>
              </c:numCache>
            </c:numRef>
          </c:val>
          <c:smooth val="0"/>
          <c:extLst>
            <c:ext xmlns:c16="http://schemas.microsoft.com/office/drawing/2014/chart" uri="{C3380CC4-5D6E-409C-BE32-E72D297353CC}">
              <c16:uniqueId val="{00000001-3AB2-453F-879E-47F0A6080DF5}"/>
            </c:ext>
          </c:extLst>
        </c:ser>
        <c:ser>
          <c:idx val="2"/>
          <c:order val="2"/>
          <c:tx>
            <c:strRef>
              <c:f>Hoja5!$A$17</c:f>
              <c:strCache>
                <c:ptCount val="1"/>
                <c:pt idx="0">
                  <c:v>Cartera Proyec.</c:v>
                </c:pt>
              </c:strCache>
            </c:strRef>
          </c:tx>
          <c:spPr>
            <a:ln cap="sq">
              <a:prstDash val="sysDot"/>
            </a:ln>
          </c:spPr>
          <c:marker>
            <c:symbol val="none"/>
          </c:marker>
          <c:cat>
            <c:strRef>
              <c:f>Hoja5!$B$14:$I$14</c:f>
              <c:strCache>
                <c:ptCount val="8"/>
                <c:pt idx="0">
                  <c:v>Enero</c:v>
                </c:pt>
                <c:pt idx="1">
                  <c:v>Febrero</c:v>
                </c:pt>
                <c:pt idx="2">
                  <c:v>Marzo</c:v>
                </c:pt>
                <c:pt idx="3">
                  <c:v>Abril</c:v>
                </c:pt>
                <c:pt idx="4">
                  <c:v>Mayo</c:v>
                </c:pt>
                <c:pt idx="5">
                  <c:v>Junio</c:v>
                </c:pt>
                <c:pt idx="6">
                  <c:v>Julio</c:v>
                </c:pt>
                <c:pt idx="7">
                  <c:v>Agosto</c:v>
                </c:pt>
              </c:strCache>
            </c:strRef>
          </c:cat>
          <c:val>
            <c:numRef>
              <c:f>Hoja5!$B$17:$I$17</c:f>
              <c:numCache>
                <c:formatCode>0.00%</c:formatCode>
                <c:ptCount val="8"/>
                <c:pt idx="0">
                  <c:v>1.67E-2</c:v>
                </c:pt>
                <c:pt idx="1">
                  <c:v>3.3399999999999999E-2</c:v>
                </c:pt>
                <c:pt idx="2">
                  <c:v>5.0099999999999999E-2</c:v>
                </c:pt>
                <c:pt idx="3">
                  <c:v>6.6799999999999998E-2</c:v>
                </c:pt>
                <c:pt idx="4">
                  <c:v>8.3499999999999991E-2</c:v>
                </c:pt>
                <c:pt idx="5">
                  <c:v>0.10019999999999998</c:v>
                </c:pt>
                <c:pt idx="6">
                  <c:v>0.11689999999999998</c:v>
                </c:pt>
                <c:pt idx="7">
                  <c:v>0.13359999999999997</c:v>
                </c:pt>
              </c:numCache>
            </c:numRef>
          </c:val>
          <c:smooth val="0"/>
          <c:extLst>
            <c:ext xmlns:c16="http://schemas.microsoft.com/office/drawing/2014/chart" uri="{C3380CC4-5D6E-409C-BE32-E72D297353CC}">
              <c16:uniqueId val="{00000002-3AB2-453F-879E-47F0A6080DF5}"/>
            </c:ext>
          </c:extLst>
        </c:ser>
        <c:ser>
          <c:idx val="3"/>
          <c:order val="3"/>
          <c:tx>
            <c:strRef>
              <c:f>Hoja5!$A$18</c:f>
              <c:strCache>
                <c:ptCount val="1"/>
                <c:pt idx="0">
                  <c:v>Depositos Proyec.</c:v>
                </c:pt>
              </c:strCache>
            </c:strRef>
          </c:tx>
          <c:spPr>
            <a:ln>
              <a:prstDash val="sysDash"/>
            </a:ln>
          </c:spPr>
          <c:marker>
            <c:symbol val="none"/>
          </c:marker>
          <c:cat>
            <c:strRef>
              <c:f>Hoja5!$B$14:$I$14</c:f>
              <c:strCache>
                <c:ptCount val="8"/>
                <c:pt idx="0">
                  <c:v>Enero</c:v>
                </c:pt>
                <c:pt idx="1">
                  <c:v>Febrero</c:v>
                </c:pt>
                <c:pt idx="2">
                  <c:v>Marzo</c:v>
                </c:pt>
                <c:pt idx="3">
                  <c:v>Abril</c:v>
                </c:pt>
                <c:pt idx="4">
                  <c:v>Mayo</c:v>
                </c:pt>
                <c:pt idx="5">
                  <c:v>Junio</c:v>
                </c:pt>
                <c:pt idx="6">
                  <c:v>Julio</c:v>
                </c:pt>
                <c:pt idx="7">
                  <c:v>Agosto</c:v>
                </c:pt>
              </c:strCache>
            </c:strRef>
          </c:cat>
          <c:val>
            <c:numRef>
              <c:f>Hoja5!$B$18:$I$18</c:f>
              <c:numCache>
                <c:formatCode>0.00%</c:formatCode>
                <c:ptCount val="8"/>
                <c:pt idx="0">
                  <c:v>2.0799999999999999E-2</c:v>
                </c:pt>
                <c:pt idx="1">
                  <c:v>4.1599999999999998E-2</c:v>
                </c:pt>
                <c:pt idx="2">
                  <c:v>6.2399999999999997E-2</c:v>
                </c:pt>
                <c:pt idx="3">
                  <c:v>8.3199999999999996E-2</c:v>
                </c:pt>
                <c:pt idx="4">
                  <c:v>0.104</c:v>
                </c:pt>
                <c:pt idx="5">
                  <c:v>0.12479999999999999</c:v>
                </c:pt>
                <c:pt idx="6">
                  <c:v>0.14560000000000001</c:v>
                </c:pt>
                <c:pt idx="7">
                  <c:v>0.16639999999999999</c:v>
                </c:pt>
              </c:numCache>
            </c:numRef>
          </c:val>
          <c:smooth val="0"/>
          <c:extLst>
            <c:ext xmlns:c16="http://schemas.microsoft.com/office/drawing/2014/chart" uri="{C3380CC4-5D6E-409C-BE32-E72D297353CC}">
              <c16:uniqueId val="{00000003-3AB2-453F-879E-47F0A6080DF5}"/>
            </c:ext>
          </c:extLst>
        </c:ser>
        <c:dLbls>
          <c:showLegendKey val="0"/>
          <c:showVal val="0"/>
          <c:showCatName val="0"/>
          <c:showSerName val="0"/>
          <c:showPercent val="0"/>
          <c:showBubbleSize val="0"/>
        </c:dLbls>
        <c:smooth val="0"/>
        <c:axId val="91421696"/>
        <c:axId val="89727744"/>
      </c:lineChart>
      <c:catAx>
        <c:axId val="91421696"/>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O"/>
          </a:p>
        </c:txPr>
        <c:crossAx val="89727744"/>
        <c:crosses val="autoZero"/>
        <c:auto val="1"/>
        <c:lblAlgn val="ctr"/>
        <c:lblOffset val="100"/>
        <c:noMultiLvlLbl val="0"/>
      </c:catAx>
      <c:valAx>
        <c:axId val="89727744"/>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91421696"/>
        <c:crosses val="autoZero"/>
        <c:crossBetween val="between"/>
      </c:valAx>
    </c:plotArea>
    <c:legend>
      <c:legendPos val="r"/>
      <c:layout>
        <c:manualLayout>
          <c:xMode val="edge"/>
          <c:yMode val="edge"/>
          <c:x val="0.70119584653512501"/>
          <c:y val="0.35069553805774278"/>
          <c:w val="0.27689263941608255"/>
          <c:h val="0.31944553805775022"/>
        </c:manualLayout>
      </c:layout>
      <c:overlay val="0"/>
      <c:txPr>
        <a:bodyPr/>
        <a:lstStyle/>
        <a:p>
          <a:pPr>
            <a:defRPr sz="18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344" l="0.70000000000000062" r="0.70000000000000062" t="0.750000000000003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951219512195275"/>
          <c:y val="4.8611111111111112E-2"/>
          <c:w val="0.39430894308943576"/>
          <c:h val="0.7118055555555598"/>
        </c:manualLayout>
      </c:layout>
      <c:lineChart>
        <c:grouping val="standard"/>
        <c:varyColors val="0"/>
        <c:ser>
          <c:idx val="0"/>
          <c:order val="0"/>
          <c:tx>
            <c:strRef>
              <c:f>Hoja5!$A$27</c:f>
              <c:strCache>
                <c:ptCount val="1"/>
                <c:pt idx="0">
                  <c:v>Saldo Cartera Ejecutada</c:v>
                </c:pt>
              </c:strCache>
            </c:strRef>
          </c:tx>
          <c:marker>
            <c:symbol val="none"/>
          </c:marker>
          <c:cat>
            <c:strRef>
              <c:f>Hoja5!$B$26:$J$26</c:f>
              <c:strCache>
                <c:ptCount val="9"/>
                <c:pt idx="0">
                  <c:v>Diciembre</c:v>
                </c:pt>
                <c:pt idx="1">
                  <c:v>Enero</c:v>
                </c:pt>
                <c:pt idx="2">
                  <c:v>Febrero</c:v>
                </c:pt>
                <c:pt idx="3">
                  <c:v>Marzo</c:v>
                </c:pt>
                <c:pt idx="4">
                  <c:v>Abril</c:v>
                </c:pt>
                <c:pt idx="5">
                  <c:v>Mayo</c:v>
                </c:pt>
                <c:pt idx="6">
                  <c:v>Junio</c:v>
                </c:pt>
                <c:pt idx="7">
                  <c:v>Julio</c:v>
                </c:pt>
                <c:pt idx="8">
                  <c:v>Agosto</c:v>
                </c:pt>
              </c:strCache>
            </c:strRef>
          </c:cat>
          <c:val>
            <c:numRef>
              <c:f>Hoja5!$B$27:$J$27</c:f>
              <c:numCache>
                <c:formatCode>#,##0_);[Red]\(#,##0\)</c:formatCode>
                <c:ptCount val="9"/>
                <c:pt idx="0" formatCode="#,##0\ ;&quot; -&quot;#,##0\ ;&quot; -&quot;#\ ;@\ ">
                  <c:v>8344519237.7600002</c:v>
                </c:pt>
                <c:pt idx="1">
                  <c:v>8713543565.1599998</c:v>
                </c:pt>
                <c:pt idx="2">
                  <c:v>9176606924.1499996</c:v>
                </c:pt>
                <c:pt idx="3">
                  <c:v>9427327223</c:v>
                </c:pt>
                <c:pt idx="4" formatCode="#,##0_);\(#,##0\)">
                  <c:v>9568593061.1499996</c:v>
                </c:pt>
                <c:pt idx="5">
                  <c:v>9860676672.1499996</c:v>
                </c:pt>
                <c:pt idx="6">
                  <c:v>9997181755.3500004</c:v>
                </c:pt>
                <c:pt idx="7" formatCode="#,##0_);\(#,##0\)">
                  <c:v>10537062005.35</c:v>
                </c:pt>
                <c:pt idx="8" formatCode="#,##0_);\(#,##0\)">
                  <c:v>10717062005.35</c:v>
                </c:pt>
              </c:numCache>
            </c:numRef>
          </c:val>
          <c:smooth val="0"/>
          <c:extLst>
            <c:ext xmlns:c16="http://schemas.microsoft.com/office/drawing/2014/chart" uri="{C3380CC4-5D6E-409C-BE32-E72D297353CC}">
              <c16:uniqueId val="{00000000-B63E-4804-8DDC-1105F9D9E49F}"/>
            </c:ext>
          </c:extLst>
        </c:ser>
        <c:ser>
          <c:idx val="1"/>
          <c:order val="1"/>
          <c:tx>
            <c:strRef>
              <c:f>Hoja5!$A$28</c:f>
              <c:strCache>
                <c:ptCount val="1"/>
                <c:pt idx="0">
                  <c:v>Saldo Cartera proyectada</c:v>
                </c:pt>
              </c:strCache>
            </c:strRef>
          </c:tx>
          <c:spPr>
            <a:ln cap="sq">
              <a:prstDash val="sysDot"/>
              <a:bevel/>
            </a:ln>
          </c:spPr>
          <c:marker>
            <c:symbol val="none"/>
          </c:marker>
          <c:cat>
            <c:strRef>
              <c:f>Hoja5!$B$26:$J$26</c:f>
              <c:strCache>
                <c:ptCount val="9"/>
                <c:pt idx="0">
                  <c:v>Diciembre</c:v>
                </c:pt>
                <c:pt idx="1">
                  <c:v>Enero</c:v>
                </c:pt>
                <c:pt idx="2">
                  <c:v>Febrero</c:v>
                </c:pt>
                <c:pt idx="3">
                  <c:v>Marzo</c:v>
                </c:pt>
                <c:pt idx="4">
                  <c:v>Abril</c:v>
                </c:pt>
                <c:pt idx="5">
                  <c:v>Mayo</c:v>
                </c:pt>
                <c:pt idx="6">
                  <c:v>Junio</c:v>
                </c:pt>
                <c:pt idx="7">
                  <c:v>Julio</c:v>
                </c:pt>
                <c:pt idx="8">
                  <c:v>Agosto</c:v>
                </c:pt>
              </c:strCache>
            </c:strRef>
          </c:cat>
          <c:val>
            <c:numRef>
              <c:f>Hoja5!$B$28:$J$28</c:f>
              <c:numCache>
                <c:formatCode>#,##0</c:formatCode>
                <c:ptCount val="9"/>
                <c:pt idx="0" formatCode="#,##0\ ;&quot; -&quot;#,##0\ ;&quot; -&quot;#\ ;@\ ">
                  <c:v>8344519238</c:v>
                </c:pt>
                <c:pt idx="1">
                  <c:v>8849792625.6230431</c:v>
                </c:pt>
                <c:pt idx="2">
                  <c:v>9167401465.8259373</c:v>
                </c:pt>
                <c:pt idx="3">
                  <c:v>9433844095.8322372</c:v>
                </c:pt>
                <c:pt idx="4">
                  <c:v>9665546481.8715801</c:v>
                </c:pt>
                <c:pt idx="5">
                  <c:v>9838523487.9859028</c:v>
                </c:pt>
                <c:pt idx="6">
                  <c:v>9741253858.0821819</c:v>
                </c:pt>
                <c:pt idx="7">
                  <c:v>10094390717.633223</c:v>
                </c:pt>
                <c:pt idx="8">
                  <c:v>10415547851.257795</c:v>
                </c:pt>
              </c:numCache>
            </c:numRef>
          </c:val>
          <c:smooth val="0"/>
          <c:extLst>
            <c:ext xmlns:c16="http://schemas.microsoft.com/office/drawing/2014/chart" uri="{C3380CC4-5D6E-409C-BE32-E72D297353CC}">
              <c16:uniqueId val="{00000001-B63E-4804-8DDC-1105F9D9E49F}"/>
            </c:ext>
          </c:extLst>
        </c:ser>
        <c:ser>
          <c:idx val="2"/>
          <c:order val="2"/>
          <c:tx>
            <c:strRef>
              <c:f>Hoja5!$A$29</c:f>
              <c:strCache>
                <c:ptCount val="1"/>
                <c:pt idx="0">
                  <c:v>Saldo Depositos Ejecutado</c:v>
                </c:pt>
              </c:strCache>
            </c:strRef>
          </c:tx>
          <c:spPr>
            <a:ln>
              <a:solidFill>
                <a:srgbClr val="F1B51F"/>
              </a:solidFill>
              <a:prstDash val="sysDash"/>
              <a:tailEnd type="none"/>
            </a:ln>
          </c:spPr>
          <c:marker>
            <c:symbol val="none"/>
          </c:marker>
          <c:cat>
            <c:strRef>
              <c:f>Hoja5!$B$26:$J$26</c:f>
              <c:strCache>
                <c:ptCount val="9"/>
                <c:pt idx="0">
                  <c:v>Diciembre</c:v>
                </c:pt>
                <c:pt idx="1">
                  <c:v>Enero</c:v>
                </c:pt>
                <c:pt idx="2">
                  <c:v>Febrero</c:v>
                </c:pt>
                <c:pt idx="3">
                  <c:v>Marzo</c:v>
                </c:pt>
                <c:pt idx="4">
                  <c:v>Abril</c:v>
                </c:pt>
                <c:pt idx="5">
                  <c:v>Mayo</c:v>
                </c:pt>
                <c:pt idx="6">
                  <c:v>Junio</c:v>
                </c:pt>
                <c:pt idx="7">
                  <c:v>Julio</c:v>
                </c:pt>
                <c:pt idx="8">
                  <c:v>Agosto</c:v>
                </c:pt>
              </c:strCache>
            </c:strRef>
          </c:cat>
          <c:val>
            <c:numRef>
              <c:f>Hoja5!$B$29:$J$29</c:f>
              <c:numCache>
                <c:formatCode>#,##0_);[Red]\(#,##0\)</c:formatCode>
                <c:ptCount val="9"/>
                <c:pt idx="0" formatCode="#,##0\ ;&quot; -&quot;#,##0\ ;&quot; -&quot;#\ ;@\ ">
                  <c:v>6197469334.9200001</c:v>
                </c:pt>
                <c:pt idx="1">
                  <c:v>6329755550.9099998</c:v>
                </c:pt>
                <c:pt idx="2" formatCode="#,##0_);\(#,##0\)">
                  <c:v>6330333113.8799992</c:v>
                </c:pt>
                <c:pt idx="3" formatCode="#,##0_);\(#,##0\)">
                  <c:v>6432393168.4099998</c:v>
                </c:pt>
                <c:pt idx="4" formatCode="#,##0_);\(#,##0\)">
                  <c:v>6476328920.1199999</c:v>
                </c:pt>
                <c:pt idx="5">
                  <c:v>6517455004.9200001</c:v>
                </c:pt>
                <c:pt idx="6">
                  <c:v>6617318277.6199999</c:v>
                </c:pt>
                <c:pt idx="7">
                  <c:v>6699131708.3199997</c:v>
                </c:pt>
                <c:pt idx="8">
                  <c:v>6099131708.3199997</c:v>
                </c:pt>
              </c:numCache>
            </c:numRef>
          </c:val>
          <c:smooth val="0"/>
          <c:extLst>
            <c:ext xmlns:c16="http://schemas.microsoft.com/office/drawing/2014/chart" uri="{C3380CC4-5D6E-409C-BE32-E72D297353CC}">
              <c16:uniqueId val="{00000002-B63E-4804-8DDC-1105F9D9E49F}"/>
            </c:ext>
          </c:extLst>
        </c:ser>
        <c:ser>
          <c:idx val="3"/>
          <c:order val="3"/>
          <c:tx>
            <c:strRef>
              <c:f>Hoja5!$A$30</c:f>
              <c:strCache>
                <c:ptCount val="1"/>
                <c:pt idx="0">
                  <c:v>Saldo Depositos Proyectada</c:v>
                </c:pt>
              </c:strCache>
            </c:strRef>
          </c:tx>
          <c:marker>
            <c:symbol val="none"/>
          </c:marker>
          <c:cat>
            <c:strRef>
              <c:f>Hoja5!$B$26:$J$26</c:f>
              <c:strCache>
                <c:ptCount val="9"/>
                <c:pt idx="0">
                  <c:v>Diciembre</c:v>
                </c:pt>
                <c:pt idx="1">
                  <c:v>Enero</c:v>
                </c:pt>
                <c:pt idx="2">
                  <c:v>Febrero</c:v>
                </c:pt>
                <c:pt idx="3">
                  <c:v>Marzo</c:v>
                </c:pt>
                <c:pt idx="4">
                  <c:v>Abril</c:v>
                </c:pt>
                <c:pt idx="5">
                  <c:v>Mayo</c:v>
                </c:pt>
                <c:pt idx="6">
                  <c:v>Junio</c:v>
                </c:pt>
                <c:pt idx="7">
                  <c:v>Julio</c:v>
                </c:pt>
                <c:pt idx="8">
                  <c:v>Agosto</c:v>
                </c:pt>
              </c:strCache>
            </c:strRef>
          </c:cat>
          <c:val>
            <c:numRef>
              <c:f>Hoja5!$B$30:$J$30</c:f>
              <c:numCache>
                <c:formatCode>#,##0</c:formatCode>
                <c:ptCount val="9"/>
                <c:pt idx="0">
                  <c:v>6221014593.666666</c:v>
                </c:pt>
                <c:pt idx="1">
                  <c:v>6221014593.666666</c:v>
                </c:pt>
                <c:pt idx="2">
                  <c:v>6338769069</c:v>
                </c:pt>
                <c:pt idx="3">
                  <c:v>6489770967.333334</c:v>
                </c:pt>
                <c:pt idx="4">
                  <c:v>6615575573.666667</c:v>
                </c:pt>
                <c:pt idx="5">
                  <c:v>6667975552.333334</c:v>
                </c:pt>
                <c:pt idx="6">
                  <c:v>6734345304.333334</c:v>
                </c:pt>
                <c:pt idx="7">
                  <c:v>6787925744.666667</c:v>
                </c:pt>
                <c:pt idx="8">
                  <c:v>6791898728.333334</c:v>
                </c:pt>
              </c:numCache>
            </c:numRef>
          </c:val>
          <c:smooth val="0"/>
          <c:extLst>
            <c:ext xmlns:c16="http://schemas.microsoft.com/office/drawing/2014/chart" uri="{C3380CC4-5D6E-409C-BE32-E72D297353CC}">
              <c16:uniqueId val="{00000003-B63E-4804-8DDC-1105F9D9E49F}"/>
            </c:ext>
          </c:extLst>
        </c:ser>
        <c:dLbls>
          <c:showLegendKey val="0"/>
          <c:showVal val="0"/>
          <c:showCatName val="0"/>
          <c:showSerName val="0"/>
          <c:showPercent val="0"/>
          <c:showBubbleSize val="0"/>
        </c:dLbls>
        <c:smooth val="0"/>
        <c:axId val="89749760"/>
        <c:axId val="89759744"/>
      </c:lineChart>
      <c:catAx>
        <c:axId val="89749760"/>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O"/>
          </a:p>
        </c:txPr>
        <c:crossAx val="89759744"/>
        <c:crosses val="autoZero"/>
        <c:auto val="1"/>
        <c:lblAlgn val="ctr"/>
        <c:lblOffset val="100"/>
        <c:noMultiLvlLbl val="0"/>
      </c:catAx>
      <c:valAx>
        <c:axId val="89759744"/>
        <c:scaling>
          <c:orientation val="minMax"/>
          <c:min val="6000000000"/>
        </c:scaling>
        <c:delete val="0"/>
        <c:axPos val="l"/>
        <c:majorGridlines/>
        <c:numFmt formatCode="#,##0\ ;&quot; -&quot;#,##0\ ;&quot; -&quot;#\ ;@\ "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89749760"/>
        <c:crosses val="autoZero"/>
        <c:crossBetween val="between"/>
      </c:valAx>
    </c:plotArea>
    <c:legend>
      <c:legendPos val="r"/>
      <c:layout>
        <c:manualLayout>
          <c:xMode val="edge"/>
          <c:yMode val="edge"/>
          <c:x val="0.71951368883767297"/>
          <c:y val="0.24652850685331001"/>
          <c:w val="0.26219554872714801"/>
          <c:h val="0.52083515602216468"/>
        </c:manualLayout>
      </c:layout>
      <c:overlay val="0"/>
      <c:txPr>
        <a:bodyPr/>
        <a:lstStyle/>
        <a:p>
          <a:pPr>
            <a:defRPr sz="18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344" l="0.70000000000000062" r="0.70000000000000062" t="0.750000000000003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7.png"/><Relationship Id="rId1" Type="http://schemas.openxmlformats.org/officeDocument/2006/relationships/image" Target="../media/image1.png"/><Relationship Id="rId4" Type="http://schemas.openxmlformats.org/officeDocument/2006/relationships/image" Target="../media/image6.png"/></Relationships>
</file>

<file path=xl/drawings/_rels/drawing2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8.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1905000</xdr:colOff>
      <xdr:row>3</xdr:row>
      <xdr:rowOff>159738</xdr:rowOff>
    </xdr:to>
    <xdr:pic>
      <xdr:nvPicPr>
        <xdr:cNvPr id="1305" name="1 Imagen">
          <a:extLst>
            <a:ext uri="{FF2B5EF4-FFF2-40B4-BE49-F238E27FC236}">
              <a16:creationId xmlns:a16="http://schemas.microsoft.com/office/drawing/2014/main" id="{00000000-0008-0000-0200-000019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537114" cy="913079"/>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47625</xdr:rowOff>
    </xdr:from>
    <xdr:to>
      <xdr:col>0</xdr:col>
      <xdr:colOff>1343025</xdr:colOff>
      <xdr:row>6</xdr:row>
      <xdr:rowOff>9525</xdr:rowOff>
    </xdr:to>
    <xdr:pic>
      <xdr:nvPicPr>
        <xdr:cNvPr id="1351959" name="1 Imagen">
          <a:extLst>
            <a:ext uri="{FF2B5EF4-FFF2-40B4-BE49-F238E27FC236}">
              <a16:creationId xmlns:a16="http://schemas.microsoft.com/office/drawing/2014/main" id="{00000000-0008-0000-1A00-000017A114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5725" y="47625"/>
          <a:ext cx="1257300" cy="4667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47625</xdr:rowOff>
    </xdr:from>
    <xdr:to>
      <xdr:col>0</xdr:col>
      <xdr:colOff>1343025</xdr:colOff>
      <xdr:row>6</xdr:row>
      <xdr:rowOff>9525</xdr:rowOff>
    </xdr:to>
    <xdr:pic>
      <xdr:nvPicPr>
        <xdr:cNvPr id="1620177" name="1 Imagen">
          <a:extLst>
            <a:ext uri="{FF2B5EF4-FFF2-40B4-BE49-F238E27FC236}">
              <a16:creationId xmlns:a16="http://schemas.microsoft.com/office/drawing/2014/main" id="{00000000-0008-0000-1C00-0000D1B818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5725" y="47625"/>
          <a:ext cx="1257300" cy="4667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161925</xdr:colOff>
      <xdr:row>0</xdr:row>
      <xdr:rowOff>66675</xdr:rowOff>
    </xdr:from>
    <xdr:to>
      <xdr:col>1</xdr:col>
      <xdr:colOff>1009650</xdr:colOff>
      <xdr:row>2</xdr:row>
      <xdr:rowOff>173567</xdr:rowOff>
    </xdr:to>
    <xdr:pic>
      <xdr:nvPicPr>
        <xdr:cNvPr id="1858001" name="4 Imagen">
          <a:extLst>
            <a:ext uri="{FF2B5EF4-FFF2-40B4-BE49-F238E27FC236}">
              <a16:creationId xmlns:a16="http://schemas.microsoft.com/office/drawing/2014/main" id="{00000000-0008-0000-1D00-0000D1591C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5275" y="66675"/>
          <a:ext cx="847725" cy="48577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200025</xdr:colOff>
      <xdr:row>0</xdr:row>
      <xdr:rowOff>76200</xdr:rowOff>
    </xdr:from>
    <xdr:to>
      <xdr:col>0</xdr:col>
      <xdr:colOff>1228725</xdr:colOff>
      <xdr:row>3</xdr:row>
      <xdr:rowOff>102394</xdr:rowOff>
    </xdr:to>
    <xdr:pic>
      <xdr:nvPicPr>
        <xdr:cNvPr id="1894831" name="4 Imagen">
          <a:extLst>
            <a:ext uri="{FF2B5EF4-FFF2-40B4-BE49-F238E27FC236}">
              <a16:creationId xmlns:a16="http://schemas.microsoft.com/office/drawing/2014/main" id="{00000000-0008-0000-1E00-0000AFE91C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0025" y="76200"/>
          <a:ext cx="1028700" cy="5905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190500</xdr:colOff>
      <xdr:row>0</xdr:row>
      <xdr:rowOff>85725</xdr:rowOff>
    </xdr:from>
    <xdr:to>
      <xdr:col>0</xdr:col>
      <xdr:colOff>1219200</xdr:colOff>
      <xdr:row>3</xdr:row>
      <xdr:rowOff>107950</xdr:rowOff>
    </xdr:to>
    <xdr:pic>
      <xdr:nvPicPr>
        <xdr:cNvPr id="2030919" name="4 Imagen">
          <a:extLst>
            <a:ext uri="{FF2B5EF4-FFF2-40B4-BE49-F238E27FC236}">
              <a16:creationId xmlns:a16="http://schemas.microsoft.com/office/drawing/2014/main" id="{00000000-0008-0000-1F00-000047FD1E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0" y="85725"/>
          <a:ext cx="1028700" cy="5905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114300</xdr:colOff>
      <xdr:row>0</xdr:row>
      <xdr:rowOff>104775</xdr:rowOff>
    </xdr:from>
    <xdr:to>
      <xdr:col>0</xdr:col>
      <xdr:colOff>940734</xdr:colOff>
      <xdr:row>3</xdr:row>
      <xdr:rowOff>9525</xdr:rowOff>
    </xdr:to>
    <xdr:pic>
      <xdr:nvPicPr>
        <xdr:cNvPr id="1985863" name="4 Imagen">
          <a:extLst>
            <a:ext uri="{FF2B5EF4-FFF2-40B4-BE49-F238E27FC236}">
              <a16:creationId xmlns:a16="http://schemas.microsoft.com/office/drawing/2014/main" id="{00000000-0008-0000-2000-0000474D1E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300" y="104775"/>
          <a:ext cx="826434" cy="47625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158750</xdr:colOff>
      <xdr:row>0</xdr:row>
      <xdr:rowOff>219075</xdr:rowOff>
    </xdr:from>
    <xdr:to>
      <xdr:col>1</xdr:col>
      <xdr:colOff>153243</xdr:colOff>
      <xdr:row>3</xdr:row>
      <xdr:rowOff>13609</xdr:rowOff>
    </xdr:to>
    <xdr:pic>
      <xdr:nvPicPr>
        <xdr:cNvPr id="2" name="1 Imagen">
          <a:extLst>
            <a:ext uri="{FF2B5EF4-FFF2-40B4-BE49-F238E27FC236}">
              <a16:creationId xmlns:a16="http://schemas.microsoft.com/office/drawing/2014/main" id="{00000000-0008-0000-2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8750" y="219075"/>
          <a:ext cx="740618" cy="434976"/>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508000</xdr:colOff>
      <xdr:row>0</xdr:row>
      <xdr:rowOff>20108</xdr:rowOff>
    </xdr:from>
    <xdr:to>
      <xdr:col>1</xdr:col>
      <xdr:colOff>521543</xdr:colOff>
      <xdr:row>2</xdr:row>
      <xdr:rowOff>73933</xdr:rowOff>
    </xdr:to>
    <xdr:pic>
      <xdr:nvPicPr>
        <xdr:cNvPr id="2" name="1 Imagen">
          <a:extLst>
            <a:ext uri="{FF2B5EF4-FFF2-40B4-BE49-F238E27FC236}">
              <a16:creationId xmlns:a16="http://schemas.microsoft.com/office/drawing/2014/main" id="{0234CEE2-F17B-4435-8359-97EFE0ED838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8000" y="20108"/>
          <a:ext cx="733210" cy="455992"/>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190500</xdr:colOff>
      <xdr:row>0</xdr:row>
      <xdr:rowOff>85725</xdr:rowOff>
    </xdr:from>
    <xdr:to>
      <xdr:col>0</xdr:col>
      <xdr:colOff>1219200</xdr:colOff>
      <xdr:row>3</xdr:row>
      <xdr:rowOff>107950</xdr:rowOff>
    </xdr:to>
    <xdr:pic>
      <xdr:nvPicPr>
        <xdr:cNvPr id="2" name="4 Imagen">
          <a:extLst>
            <a:ext uri="{FF2B5EF4-FFF2-40B4-BE49-F238E27FC236}">
              <a16:creationId xmlns:a16="http://schemas.microsoft.com/office/drawing/2014/main" id="{7D09E0D1-CE85-46CF-AA8A-B9240D0F2C0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0" y="85725"/>
          <a:ext cx="1028700" cy="59372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200025</xdr:colOff>
      <xdr:row>0</xdr:row>
      <xdr:rowOff>104775</xdr:rowOff>
    </xdr:from>
    <xdr:to>
      <xdr:col>0</xdr:col>
      <xdr:colOff>1208275</xdr:colOff>
      <xdr:row>3</xdr:row>
      <xdr:rowOff>85725</xdr:rowOff>
    </xdr:to>
    <xdr:pic>
      <xdr:nvPicPr>
        <xdr:cNvPr id="4" name="3 Imagen">
          <a:extLst>
            <a:ext uri="{FF2B5EF4-FFF2-40B4-BE49-F238E27FC236}">
              <a16:creationId xmlns:a16="http://schemas.microsoft.com/office/drawing/2014/main" id="{00000000-0008-0000-22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0025" y="104775"/>
          <a:ext cx="1008250" cy="581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1428750</xdr:colOff>
      <xdr:row>3</xdr:row>
      <xdr:rowOff>66675</xdr:rowOff>
    </xdr:to>
    <xdr:pic>
      <xdr:nvPicPr>
        <xdr:cNvPr id="2327" name="1 Imagen">
          <a:extLst>
            <a:ext uri="{FF2B5EF4-FFF2-40B4-BE49-F238E27FC236}">
              <a16:creationId xmlns:a16="http://schemas.microsoft.com/office/drawing/2014/main" id="{00000000-0008-0000-0300-00001709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428750" cy="8096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762000</xdr:colOff>
      <xdr:row>64</xdr:row>
      <xdr:rowOff>76200</xdr:rowOff>
    </xdr:from>
    <xdr:to>
      <xdr:col>1</xdr:col>
      <xdr:colOff>1409700</xdr:colOff>
      <xdr:row>67</xdr:row>
      <xdr:rowOff>28575</xdr:rowOff>
    </xdr:to>
    <xdr:pic>
      <xdr:nvPicPr>
        <xdr:cNvPr id="1954116" name="Picture 1">
          <a:extLst>
            <a:ext uri="{FF2B5EF4-FFF2-40B4-BE49-F238E27FC236}">
              <a16:creationId xmlns:a16="http://schemas.microsoft.com/office/drawing/2014/main" id="{00000000-0008-0000-2300-000044D11D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429125" y="13192125"/>
          <a:ext cx="647700" cy="552450"/>
        </a:xfrm>
        <a:prstGeom prst="rect">
          <a:avLst/>
        </a:prstGeom>
        <a:noFill/>
        <a:ln w="9525">
          <a:noFill/>
          <a:miter lim="800000"/>
          <a:headEnd/>
          <a:tailEnd/>
        </a:ln>
      </xdr:spPr>
    </xdr:pic>
    <xdr:clientData/>
  </xdr:twoCellAnchor>
  <xdr:twoCellAnchor>
    <xdr:from>
      <xdr:col>0</xdr:col>
      <xdr:colOff>400050</xdr:colOff>
      <xdr:row>64</xdr:row>
      <xdr:rowOff>76200</xdr:rowOff>
    </xdr:from>
    <xdr:to>
      <xdr:col>0</xdr:col>
      <xdr:colOff>1285875</xdr:colOff>
      <xdr:row>67</xdr:row>
      <xdr:rowOff>38100</xdr:rowOff>
    </xdr:to>
    <xdr:pic>
      <xdr:nvPicPr>
        <xdr:cNvPr id="1954117" name="Picture 2">
          <a:extLst>
            <a:ext uri="{FF2B5EF4-FFF2-40B4-BE49-F238E27FC236}">
              <a16:creationId xmlns:a16="http://schemas.microsoft.com/office/drawing/2014/main" id="{00000000-0008-0000-2300-000045D11D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050" y="13192125"/>
          <a:ext cx="885825" cy="561975"/>
        </a:xfrm>
        <a:prstGeom prst="rect">
          <a:avLst/>
        </a:prstGeom>
        <a:noFill/>
        <a:ln w="9525">
          <a:noFill/>
          <a:miter lim="800000"/>
          <a:headEnd/>
          <a:tailEnd/>
        </a:ln>
      </xdr:spPr>
    </xdr:pic>
    <xdr:clientData/>
  </xdr:twoCellAnchor>
  <xdr:twoCellAnchor>
    <xdr:from>
      <xdr:col>3</xdr:col>
      <xdr:colOff>523875</xdr:colOff>
      <xdr:row>64</xdr:row>
      <xdr:rowOff>19050</xdr:rowOff>
    </xdr:from>
    <xdr:to>
      <xdr:col>3</xdr:col>
      <xdr:colOff>990600</xdr:colOff>
      <xdr:row>67</xdr:row>
      <xdr:rowOff>28575</xdr:rowOff>
    </xdr:to>
    <xdr:pic>
      <xdr:nvPicPr>
        <xdr:cNvPr id="1954118" name="Picture 3">
          <a:extLst>
            <a:ext uri="{FF2B5EF4-FFF2-40B4-BE49-F238E27FC236}">
              <a16:creationId xmlns:a16="http://schemas.microsoft.com/office/drawing/2014/main" id="{00000000-0008-0000-2300-000046D11D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172325" y="13134975"/>
          <a:ext cx="466725" cy="609600"/>
        </a:xfrm>
        <a:prstGeom prst="rect">
          <a:avLst/>
        </a:prstGeom>
        <a:noFill/>
        <a:ln w="9525">
          <a:noFill/>
          <a:miter lim="800000"/>
          <a:headEnd/>
          <a:tailEnd/>
        </a:ln>
      </xdr:spPr>
    </xdr:pic>
    <xdr:clientData/>
  </xdr:twoCellAnchor>
  <xdr:twoCellAnchor editAs="oneCell">
    <xdr:from>
      <xdr:col>0</xdr:col>
      <xdr:colOff>85725</xdr:colOff>
      <xdr:row>0</xdr:row>
      <xdr:rowOff>66675</xdr:rowOff>
    </xdr:from>
    <xdr:to>
      <xdr:col>0</xdr:col>
      <xdr:colOff>952500</xdr:colOff>
      <xdr:row>2</xdr:row>
      <xdr:rowOff>161925</xdr:rowOff>
    </xdr:to>
    <xdr:pic>
      <xdr:nvPicPr>
        <xdr:cNvPr id="1954119" name="4 Imagen">
          <a:extLst>
            <a:ext uri="{FF2B5EF4-FFF2-40B4-BE49-F238E27FC236}">
              <a16:creationId xmlns:a16="http://schemas.microsoft.com/office/drawing/2014/main" id="{00000000-0008-0000-2300-000047D11D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5725" y="66675"/>
          <a:ext cx="866775" cy="495300"/>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771525</xdr:colOff>
      <xdr:row>2</xdr:row>
      <xdr:rowOff>209550</xdr:rowOff>
    </xdr:to>
    <xdr:pic>
      <xdr:nvPicPr>
        <xdr:cNvPr id="2123991" name="1 Imagen">
          <a:extLst>
            <a:ext uri="{FF2B5EF4-FFF2-40B4-BE49-F238E27FC236}">
              <a16:creationId xmlns:a16="http://schemas.microsoft.com/office/drawing/2014/main" id="{00000000-0008-0000-2400-0000D7682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123950" cy="647700"/>
        </a:xfrm>
        <a:prstGeom prst="rect">
          <a:avLst/>
        </a:prstGeom>
        <a:noFill/>
        <a:ln w="9525">
          <a:noFill/>
          <a:miter lim="800000"/>
          <a:headEnd/>
          <a:tailEnd/>
        </a:ln>
      </xdr:spPr>
    </xdr:pic>
    <xdr:clientData/>
  </xdr:twoCellAnchor>
  <xdr:twoCellAnchor>
    <xdr:from>
      <xdr:col>2</xdr:col>
      <xdr:colOff>714375</xdr:colOff>
      <xdr:row>100</xdr:row>
      <xdr:rowOff>0</xdr:rowOff>
    </xdr:from>
    <xdr:to>
      <xdr:col>2</xdr:col>
      <xdr:colOff>1704975</xdr:colOff>
      <xdr:row>104</xdr:row>
      <xdr:rowOff>28575</xdr:rowOff>
    </xdr:to>
    <xdr:pic>
      <xdr:nvPicPr>
        <xdr:cNvPr id="2123992" name="Picture 1">
          <a:extLst>
            <a:ext uri="{FF2B5EF4-FFF2-40B4-BE49-F238E27FC236}">
              <a16:creationId xmlns:a16="http://schemas.microsoft.com/office/drawing/2014/main" id="{00000000-0008-0000-2400-0000D8682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57675" y="22174200"/>
          <a:ext cx="581025" cy="904875"/>
        </a:xfrm>
        <a:prstGeom prst="rect">
          <a:avLst/>
        </a:prstGeom>
        <a:noFill/>
        <a:ln w="9525">
          <a:noFill/>
          <a:miter lim="800000"/>
          <a:headEnd/>
          <a:tailEnd/>
        </a:ln>
      </xdr:spPr>
    </xdr:pic>
    <xdr:clientData/>
  </xdr:twoCellAnchor>
  <xdr:twoCellAnchor>
    <xdr:from>
      <xdr:col>1</xdr:col>
      <xdr:colOff>352425</xdr:colOff>
      <xdr:row>100</xdr:row>
      <xdr:rowOff>76200</xdr:rowOff>
    </xdr:from>
    <xdr:to>
      <xdr:col>1</xdr:col>
      <xdr:colOff>1476375</xdr:colOff>
      <xdr:row>104</xdr:row>
      <xdr:rowOff>28575</xdr:rowOff>
    </xdr:to>
    <xdr:pic>
      <xdr:nvPicPr>
        <xdr:cNvPr id="2123993" name="Picture 2">
          <a:extLst>
            <a:ext uri="{FF2B5EF4-FFF2-40B4-BE49-F238E27FC236}">
              <a16:creationId xmlns:a16="http://schemas.microsoft.com/office/drawing/2014/main" id="{00000000-0008-0000-2400-0000D9682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04850" y="22250400"/>
          <a:ext cx="1123950" cy="828675"/>
        </a:xfrm>
        <a:prstGeom prst="rect">
          <a:avLst/>
        </a:prstGeom>
        <a:noFill/>
        <a:ln w="9525">
          <a:noFill/>
          <a:miter lim="800000"/>
          <a:headEnd/>
          <a:tailEnd/>
        </a:ln>
      </xdr:spPr>
    </xdr:pic>
    <xdr:clientData/>
  </xdr:twoCellAnchor>
  <xdr:twoCellAnchor>
    <xdr:from>
      <xdr:col>4</xdr:col>
      <xdr:colOff>419100</xdr:colOff>
      <xdr:row>100</xdr:row>
      <xdr:rowOff>0</xdr:rowOff>
    </xdr:from>
    <xdr:to>
      <xdr:col>4</xdr:col>
      <xdr:colOff>1066800</xdr:colOff>
      <xdr:row>104</xdr:row>
      <xdr:rowOff>0</xdr:rowOff>
    </xdr:to>
    <xdr:pic>
      <xdr:nvPicPr>
        <xdr:cNvPr id="2123994" name="Picture 3">
          <a:extLst>
            <a:ext uri="{FF2B5EF4-FFF2-40B4-BE49-F238E27FC236}">
              <a16:creationId xmlns:a16="http://schemas.microsoft.com/office/drawing/2014/main" id="{00000000-0008-0000-2400-0000DA682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6962775" y="22174200"/>
          <a:ext cx="542925" cy="876300"/>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xdr:from>
      <xdr:col>2</xdr:col>
      <xdr:colOff>847725</xdr:colOff>
      <xdr:row>99</xdr:row>
      <xdr:rowOff>66675</xdr:rowOff>
    </xdr:from>
    <xdr:to>
      <xdr:col>3</xdr:col>
      <xdr:colOff>47625</xdr:colOff>
      <xdr:row>101</xdr:row>
      <xdr:rowOff>28575</xdr:rowOff>
    </xdr:to>
    <xdr:pic>
      <xdr:nvPicPr>
        <xdr:cNvPr id="2246721" name="Picture 105">
          <a:extLst>
            <a:ext uri="{FF2B5EF4-FFF2-40B4-BE49-F238E27FC236}">
              <a16:creationId xmlns:a16="http://schemas.microsoft.com/office/drawing/2014/main" id="{00000000-0008-0000-2500-0000414822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9525" y="6962775"/>
          <a:ext cx="542925" cy="457200"/>
        </a:xfrm>
        <a:prstGeom prst="rect">
          <a:avLst/>
        </a:prstGeom>
        <a:noFill/>
        <a:ln w="9525">
          <a:noFill/>
          <a:miter lim="800000"/>
          <a:headEnd/>
          <a:tailEnd/>
        </a:ln>
      </xdr:spPr>
    </xdr:pic>
    <xdr:clientData/>
  </xdr:twoCellAnchor>
  <xdr:twoCellAnchor>
    <xdr:from>
      <xdr:col>0</xdr:col>
      <xdr:colOff>381000</xdr:colOff>
      <xdr:row>99</xdr:row>
      <xdr:rowOff>57150</xdr:rowOff>
    </xdr:from>
    <xdr:to>
      <xdr:col>0</xdr:col>
      <xdr:colOff>1228725</xdr:colOff>
      <xdr:row>101</xdr:row>
      <xdr:rowOff>95250</xdr:rowOff>
    </xdr:to>
    <xdr:pic>
      <xdr:nvPicPr>
        <xdr:cNvPr id="2246722" name="Picture 2">
          <a:extLst>
            <a:ext uri="{FF2B5EF4-FFF2-40B4-BE49-F238E27FC236}">
              <a16:creationId xmlns:a16="http://schemas.microsoft.com/office/drawing/2014/main" id="{00000000-0008-0000-2500-0000424822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000" y="6953250"/>
          <a:ext cx="847725" cy="533400"/>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0</xdr:col>
      <xdr:colOff>1122550</xdr:colOff>
      <xdr:row>3</xdr:row>
      <xdr:rowOff>9525</xdr:rowOff>
    </xdr:to>
    <xdr:pic>
      <xdr:nvPicPr>
        <xdr:cNvPr id="2" name="1 Imagen">
          <a:extLst>
            <a:ext uri="{FF2B5EF4-FFF2-40B4-BE49-F238E27FC236}">
              <a16:creationId xmlns:a16="http://schemas.microsoft.com/office/drawing/2014/main" id="{00000000-0008-0000-2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300" y="28575"/>
          <a:ext cx="1008250" cy="5810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xdr:row>
      <xdr:rowOff>28575</xdr:rowOff>
    </xdr:from>
    <xdr:to>
      <xdr:col>9</xdr:col>
      <xdr:colOff>190500</xdr:colOff>
      <xdr:row>29</xdr:row>
      <xdr:rowOff>152400</xdr:rowOff>
    </xdr:to>
    <xdr:grpSp>
      <xdr:nvGrpSpPr>
        <xdr:cNvPr id="2351505" name="Group 7">
          <a:extLst>
            <a:ext uri="{FF2B5EF4-FFF2-40B4-BE49-F238E27FC236}">
              <a16:creationId xmlns:a16="http://schemas.microsoft.com/office/drawing/2014/main" id="{00000000-0008-0000-0600-000091E12300}"/>
            </a:ext>
          </a:extLst>
        </xdr:cNvPr>
        <xdr:cNvGrpSpPr>
          <a:grpSpLocks noChangeAspect="1"/>
        </xdr:cNvGrpSpPr>
      </xdr:nvGrpSpPr>
      <xdr:grpSpPr bwMode="auto">
        <a:xfrm>
          <a:off x="1981200" y="409575"/>
          <a:ext cx="7124700" cy="5267325"/>
          <a:chOff x="748" y="799"/>
          <a:chExt cx="4488" cy="3318"/>
        </a:xfrm>
      </xdr:grpSpPr>
      <xdr:sp macro="" textlink="">
        <xdr:nvSpPr>
          <xdr:cNvPr id="2351507" name="AutoShape 6">
            <a:extLst>
              <a:ext uri="{FF2B5EF4-FFF2-40B4-BE49-F238E27FC236}">
                <a16:creationId xmlns:a16="http://schemas.microsoft.com/office/drawing/2014/main" id="{00000000-0008-0000-0600-000093E12300}"/>
              </a:ext>
            </a:extLst>
          </xdr:cNvPr>
          <xdr:cNvSpPr>
            <a:spLocks noChangeAspect="1" noChangeArrowheads="1"/>
          </xdr:cNvSpPr>
        </xdr:nvSpPr>
        <xdr:spPr bwMode="auto">
          <a:xfrm>
            <a:off x="748" y="799"/>
            <a:ext cx="4470" cy="3312"/>
          </a:xfrm>
          <a:prstGeom prst="rect">
            <a:avLst/>
          </a:prstGeom>
          <a:noFill/>
          <a:ln w="9525">
            <a:noFill/>
            <a:miter lim="800000"/>
            <a:headEnd/>
            <a:tailEnd/>
          </a:ln>
        </xdr:spPr>
      </xdr:sp>
      <xdr:grpSp>
        <xdr:nvGrpSpPr>
          <xdr:cNvPr id="2351508" name="Group 208">
            <a:extLst>
              <a:ext uri="{FF2B5EF4-FFF2-40B4-BE49-F238E27FC236}">
                <a16:creationId xmlns:a16="http://schemas.microsoft.com/office/drawing/2014/main" id="{00000000-0008-0000-0600-000094E12300}"/>
              </a:ext>
            </a:extLst>
          </xdr:cNvPr>
          <xdr:cNvGrpSpPr>
            <a:grpSpLocks/>
          </xdr:cNvGrpSpPr>
        </xdr:nvGrpSpPr>
        <xdr:grpSpPr bwMode="auto">
          <a:xfrm>
            <a:off x="748" y="799"/>
            <a:ext cx="4470" cy="3312"/>
            <a:chOff x="748" y="799"/>
            <a:chExt cx="4470" cy="3312"/>
          </a:xfrm>
        </xdr:grpSpPr>
        <xdr:sp macro="" textlink="">
          <xdr:nvSpPr>
            <xdr:cNvPr id="2351650" name="Rectangle 8">
              <a:extLst>
                <a:ext uri="{FF2B5EF4-FFF2-40B4-BE49-F238E27FC236}">
                  <a16:creationId xmlns:a16="http://schemas.microsoft.com/office/drawing/2014/main" id="{00000000-0008-0000-0600-000022E22300}"/>
                </a:ext>
              </a:extLst>
            </xdr:cNvPr>
            <xdr:cNvSpPr>
              <a:spLocks noChangeArrowheads="1"/>
            </xdr:cNvSpPr>
          </xdr:nvSpPr>
          <xdr:spPr bwMode="auto">
            <a:xfrm>
              <a:off x="748" y="799"/>
              <a:ext cx="4470" cy="258"/>
            </a:xfrm>
            <a:prstGeom prst="rect">
              <a:avLst/>
            </a:prstGeom>
            <a:solidFill>
              <a:srgbClr val="E46D0A"/>
            </a:solidFill>
            <a:ln w="9525">
              <a:noFill/>
              <a:miter lim="800000"/>
              <a:headEnd/>
              <a:tailEnd/>
            </a:ln>
          </xdr:spPr>
        </xdr:sp>
        <xdr:sp macro="" textlink="">
          <xdr:nvSpPr>
            <xdr:cNvPr id="2351651" name="Rectangle 9">
              <a:extLst>
                <a:ext uri="{FF2B5EF4-FFF2-40B4-BE49-F238E27FC236}">
                  <a16:creationId xmlns:a16="http://schemas.microsoft.com/office/drawing/2014/main" id="{00000000-0008-0000-0600-000023E22300}"/>
                </a:ext>
              </a:extLst>
            </xdr:cNvPr>
            <xdr:cNvSpPr>
              <a:spLocks noChangeArrowheads="1"/>
            </xdr:cNvSpPr>
          </xdr:nvSpPr>
          <xdr:spPr bwMode="auto">
            <a:xfrm>
              <a:off x="748" y="1051"/>
              <a:ext cx="1350" cy="132"/>
            </a:xfrm>
            <a:prstGeom prst="rect">
              <a:avLst/>
            </a:prstGeom>
            <a:solidFill>
              <a:srgbClr val="002060"/>
            </a:solidFill>
            <a:ln w="9525">
              <a:noFill/>
              <a:miter lim="800000"/>
              <a:headEnd/>
              <a:tailEnd/>
            </a:ln>
          </xdr:spPr>
        </xdr:sp>
        <xdr:sp macro="" textlink="">
          <xdr:nvSpPr>
            <xdr:cNvPr id="2351652" name="Rectangle 10">
              <a:extLst>
                <a:ext uri="{FF2B5EF4-FFF2-40B4-BE49-F238E27FC236}">
                  <a16:creationId xmlns:a16="http://schemas.microsoft.com/office/drawing/2014/main" id="{00000000-0008-0000-0600-000024E22300}"/>
                </a:ext>
              </a:extLst>
            </xdr:cNvPr>
            <xdr:cNvSpPr>
              <a:spLocks noChangeArrowheads="1"/>
            </xdr:cNvSpPr>
          </xdr:nvSpPr>
          <xdr:spPr bwMode="auto">
            <a:xfrm>
              <a:off x="2092" y="1177"/>
              <a:ext cx="684" cy="126"/>
            </a:xfrm>
            <a:prstGeom prst="rect">
              <a:avLst/>
            </a:prstGeom>
            <a:solidFill>
              <a:srgbClr val="002060"/>
            </a:solidFill>
            <a:ln w="9525">
              <a:noFill/>
              <a:miter lim="800000"/>
              <a:headEnd/>
              <a:tailEnd/>
            </a:ln>
          </xdr:spPr>
        </xdr:sp>
        <xdr:sp macro="" textlink="">
          <xdr:nvSpPr>
            <xdr:cNvPr id="149" name="Rectangle 11">
              <a:extLst>
                <a:ext uri="{FF2B5EF4-FFF2-40B4-BE49-F238E27FC236}">
                  <a16:creationId xmlns:a16="http://schemas.microsoft.com/office/drawing/2014/main" id="{00000000-0008-0000-0600-000095000000}"/>
                </a:ext>
              </a:extLst>
            </xdr:cNvPr>
            <xdr:cNvSpPr>
              <a:spLocks noChangeArrowheads="1"/>
            </xdr:cNvSpPr>
          </xdr:nvSpPr>
          <xdr:spPr bwMode="auto">
            <a:xfrm>
              <a:off x="2782" y="1183"/>
              <a:ext cx="666" cy="126"/>
            </a:xfrm>
            <a:prstGeom prst="rect">
              <a:avLst/>
            </a:prstGeom>
            <a:solidFill>
              <a:srgbClr val="002060"/>
            </a:solidFill>
            <a:ln w="9525">
              <a:noFill/>
              <a:miter lim="800000"/>
              <a:headEnd/>
              <a:tailEnd/>
            </a:ln>
          </xdr:spPr>
          <xdr:txBody>
            <a:bodyPr vert="horz" wrap="square" lIns="91440" tIns="45720" rIns="91440" bIns="45720" numCol="1" anchor="t" anchorCtr="0" compatLnSpc="1">
              <a:prstTxWarp prst="textNoShape">
                <a:avLst/>
              </a:prstTxWarp>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indent="0" algn="l" defTabSz="449263" rtl="0" eaLnBrk="1" fontAlgn="base" latinLnBrk="0" hangingPunct="1">
                <a:lnSpc>
                  <a:spcPct val="100000"/>
                </a:lnSpc>
                <a:spcBef>
                  <a:spcPct val="0"/>
                </a:spcBef>
                <a:spcAft>
                  <a:spcPct val="0"/>
                </a:spcAft>
                <a:buClr>
                  <a:srgbClr val="000000"/>
                </a:buClr>
                <a:buSzPct val="100000"/>
                <a:buFont typeface="Arial" charset="0"/>
                <a:buNone/>
                <a:tabLst/>
                <a:defRPr/>
              </a:pPr>
              <a:r>
                <a:rPr lang="es-ES">
                  <a:solidFill>
                    <a:schemeClr val="bg1"/>
                  </a:solidFill>
                </a:rPr>
                <a:t>1</a:t>
              </a:r>
              <a:r>
                <a:rPr lang="es-ES" sz="1100" b="0" i="0" u="none" strike="noStrike">
                  <a:latin typeface="Cambria"/>
                </a:rPr>
                <a:t>4,014,921.46  </a:t>
              </a:r>
              <a:endParaRPr lang="es-ES">
                <a:solidFill>
                  <a:schemeClr val="bg1"/>
                </a:solidFill>
              </a:endParaRPr>
            </a:p>
          </xdr:txBody>
        </xdr:sp>
        <xdr:sp macro="" textlink="">
          <xdr:nvSpPr>
            <xdr:cNvPr id="2351654" name="Rectangle 12">
              <a:extLst>
                <a:ext uri="{FF2B5EF4-FFF2-40B4-BE49-F238E27FC236}">
                  <a16:creationId xmlns:a16="http://schemas.microsoft.com/office/drawing/2014/main" id="{00000000-0008-0000-0600-000026E22300}"/>
                </a:ext>
              </a:extLst>
            </xdr:cNvPr>
            <xdr:cNvSpPr>
              <a:spLocks noChangeArrowheads="1"/>
            </xdr:cNvSpPr>
          </xdr:nvSpPr>
          <xdr:spPr bwMode="auto">
            <a:xfrm>
              <a:off x="748" y="1417"/>
              <a:ext cx="1350" cy="132"/>
            </a:xfrm>
            <a:prstGeom prst="rect">
              <a:avLst/>
            </a:prstGeom>
            <a:solidFill>
              <a:srgbClr val="002060"/>
            </a:solidFill>
            <a:ln w="9525">
              <a:noFill/>
              <a:miter lim="800000"/>
              <a:headEnd/>
              <a:tailEnd/>
            </a:ln>
          </xdr:spPr>
        </xdr:sp>
        <xdr:sp macro="" textlink="">
          <xdr:nvSpPr>
            <xdr:cNvPr id="2351655" name="Rectangle 13">
              <a:extLst>
                <a:ext uri="{FF2B5EF4-FFF2-40B4-BE49-F238E27FC236}">
                  <a16:creationId xmlns:a16="http://schemas.microsoft.com/office/drawing/2014/main" id="{00000000-0008-0000-0600-000027E22300}"/>
                </a:ext>
              </a:extLst>
            </xdr:cNvPr>
            <xdr:cNvSpPr>
              <a:spLocks noChangeArrowheads="1"/>
            </xdr:cNvSpPr>
          </xdr:nvSpPr>
          <xdr:spPr bwMode="auto">
            <a:xfrm>
              <a:off x="748" y="2023"/>
              <a:ext cx="1350" cy="132"/>
            </a:xfrm>
            <a:prstGeom prst="rect">
              <a:avLst/>
            </a:prstGeom>
            <a:solidFill>
              <a:srgbClr val="002060"/>
            </a:solidFill>
            <a:ln w="9525">
              <a:noFill/>
              <a:miter lim="800000"/>
              <a:headEnd/>
              <a:tailEnd/>
            </a:ln>
          </xdr:spPr>
        </xdr:sp>
        <xdr:sp macro="" textlink="">
          <xdr:nvSpPr>
            <xdr:cNvPr id="2351656" name="Rectangle 14">
              <a:extLst>
                <a:ext uri="{FF2B5EF4-FFF2-40B4-BE49-F238E27FC236}">
                  <a16:creationId xmlns:a16="http://schemas.microsoft.com/office/drawing/2014/main" id="{00000000-0008-0000-0600-000028E22300}"/>
                </a:ext>
              </a:extLst>
            </xdr:cNvPr>
            <xdr:cNvSpPr>
              <a:spLocks noChangeArrowheads="1"/>
            </xdr:cNvSpPr>
          </xdr:nvSpPr>
          <xdr:spPr bwMode="auto">
            <a:xfrm>
              <a:off x="2092" y="2023"/>
              <a:ext cx="684" cy="132"/>
            </a:xfrm>
            <a:prstGeom prst="rect">
              <a:avLst/>
            </a:prstGeom>
            <a:solidFill>
              <a:srgbClr val="002060"/>
            </a:solidFill>
            <a:ln w="9525">
              <a:noFill/>
              <a:miter lim="800000"/>
              <a:headEnd/>
              <a:tailEnd/>
            </a:ln>
          </xdr:spPr>
        </xdr:sp>
        <xdr:sp macro="" textlink="">
          <xdr:nvSpPr>
            <xdr:cNvPr id="2351657" name="Rectangle 15">
              <a:extLst>
                <a:ext uri="{FF2B5EF4-FFF2-40B4-BE49-F238E27FC236}">
                  <a16:creationId xmlns:a16="http://schemas.microsoft.com/office/drawing/2014/main" id="{00000000-0008-0000-0600-000029E22300}"/>
                </a:ext>
              </a:extLst>
            </xdr:cNvPr>
            <xdr:cNvSpPr>
              <a:spLocks noChangeArrowheads="1"/>
            </xdr:cNvSpPr>
          </xdr:nvSpPr>
          <xdr:spPr bwMode="auto">
            <a:xfrm>
              <a:off x="2770" y="2023"/>
              <a:ext cx="666" cy="132"/>
            </a:xfrm>
            <a:prstGeom prst="rect">
              <a:avLst/>
            </a:prstGeom>
            <a:solidFill>
              <a:srgbClr val="002060"/>
            </a:solidFill>
            <a:ln w="9525">
              <a:noFill/>
              <a:miter lim="800000"/>
              <a:headEnd/>
              <a:tailEnd/>
            </a:ln>
          </xdr:spPr>
        </xdr:sp>
        <xdr:sp macro="" textlink="">
          <xdr:nvSpPr>
            <xdr:cNvPr id="2351658" name="Rectangle 16">
              <a:extLst>
                <a:ext uri="{FF2B5EF4-FFF2-40B4-BE49-F238E27FC236}">
                  <a16:creationId xmlns:a16="http://schemas.microsoft.com/office/drawing/2014/main" id="{00000000-0008-0000-0600-00002AE22300}"/>
                </a:ext>
              </a:extLst>
            </xdr:cNvPr>
            <xdr:cNvSpPr>
              <a:spLocks noChangeArrowheads="1"/>
            </xdr:cNvSpPr>
          </xdr:nvSpPr>
          <xdr:spPr bwMode="auto">
            <a:xfrm>
              <a:off x="748" y="2269"/>
              <a:ext cx="1350" cy="132"/>
            </a:xfrm>
            <a:prstGeom prst="rect">
              <a:avLst/>
            </a:prstGeom>
            <a:solidFill>
              <a:srgbClr val="002060"/>
            </a:solidFill>
            <a:ln w="9525">
              <a:noFill/>
              <a:miter lim="800000"/>
              <a:headEnd/>
              <a:tailEnd/>
            </a:ln>
          </xdr:spPr>
        </xdr:sp>
        <xdr:sp macro="" textlink="">
          <xdr:nvSpPr>
            <xdr:cNvPr id="2351659" name="Rectangle 17">
              <a:extLst>
                <a:ext uri="{FF2B5EF4-FFF2-40B4-BE49-F238E27FC236}">
                  <a16:creationId xmlns:a16="http://schemas.microsoft.com/office/drawing/2014/main" id="{00000000-0008-0000-0600-00002BE22300}"/>
                </a:ext>
              </a:extLst>
            </xdr:cNvPr>
            <xdr:cNvSpPr>
              <a:spLocks noChangeArrowheads="1"/>
            </xdr:cNvSpPr>
          </xdr:nvSpPr>
          <xdr:spPr bwMode="auto">
            <a:xfrm>
              <a:off x="748" y="3235"/>
              <a:ext cx="1350" cy="132"/>
            </a:xfrm>
            <a:prstGeom prst="rect">
              <a:avLst/>
            </a:prstGeom>
            <a:solidFill>
              <a:srgbClr val="002060"/>
            </a:solidFill>
            <a:ln w="9525">
              <a:noFill/>
              <a:miter lim="800000"/>
              <a:headEnd/>
              <a:tailEnd/>
            </a:ln>
          </xdr:spPr>
        </xdr:sp>
        <xdr:sp macro="" textlink="">
          <xdr:nvSpPr>
            <xdr:cNvPr id="2351660" name="Rectangle 18">
              <a:extLst>
                <a:ext uri="{FF2B5EF4-FFF2-40B4-BE49-F238E27FC236}">
                  <a16:creationId xmlns:a16="http://schemas.microsoft.com/office/drawing/2014/main" id="{00000000-0008-0000-0600-00002CE22300}"/>
                </a:ext>
              </a:extLst>
            </xdr:cNvPr>
            <xdr:cNvSpPr>
              <a:spLocks noChangeArrowheads="1"/>
            </xdr:cNvSpPr>
          </xdr:nvSpPr>
          <xdr:spPr bwMode="auto">
            <a:xfrm>
              <a:off x="2092" y="3235"/>
              <a:ext cx="684" cy="132"/>
            </a:xfrm>
            <a:prstGeom prst="rect">
              <a:avLst/>
            </a:prstGeom>
            <a:solidFill>
              <a:srgbClr val="002060"/>
            </a:solidFill>
            <a:ln w="9525">
              <a:noFill/>
              <a:miter lim="800000"/>
              <a:headEnd/>
              <a:tailEnd/>
            </a:ln>
          </xdr:spPr>
        </xdr:sp>
        <xdr:sp macro="" textlink="">
          <xdr:nvSpPr>
            <xdr:cNvPr id="2351661" name="Rectangle 19">
              <a:extLst>
                <a:ext uri="{FF2B5EF4-FFF2-40B4-BE49-F238E27FC236}">
                  <a16:creationId xmlns:a16="http://schemas.microsoft.com/office/drawing/2014/main" id="{00000000-0008-0000-0600-00002DE22300}"/>
                </a:ext>
              </a:extLst>
            </xdr:cNvPr>
            <xdr:cNvSpPr>
              <a:spLocks noChangeArrowheads="1"/>
            </xdr:cNvSpPr>
          </xdr:nvSpPr>
          <xdr:spPr bwMode="auto">
            <a:xfrm>
              <a:off x="2770" y="3235"/>
              <a:ext cx="666" cy="132"/>
            </a:xfrm>
            <a:prstGeom prst="rect">
              <a:avLst/>
            </a:prstGeom>
            <a:solidFill>
              <a:srgbClr val="002060"/>
            </a:solidFill>
            <a:ln w="9525">
              <a:noFill/>
              <a:miter lim="800000"/>
              <a:headEnd/>
              <a:tailEnd/>
            </a:ln>
          </xdr:spPr>
        </xdr:sp>
        <xdr:sp macro="" textlink="">
          <xdr:nvSpPr>
            <xdr:cNvPr id="2351662" name="Rectangle 20">
              <a:extLst>
                <a:ext uri="{FF2B5EF4-FFF2-40B4-BE49-F238E27FC236}">
                  <a16:creationId xmlns:a16="http://schemas.microsoft.com/office/drawing/2014/main" id="{00000000-0008-0000-0600-00002EE22300}"/>
                </a:ext>
              </a:extLst>
            </xdr:cNvPr>
            <xdr:cNvSpPr>
              <a:spLocks noChangeArrowheads="1"/>
            </xdr:cNvSpPr>
          </xdr:nvSpPr>
          <xdr:spPr bwMode="auto">
            <a:xfrm>
              <a:off x="2092" y="3601"/>
              <a:ext cx="684" cy="132"/>
            </a:xfrm>
            <a:prstGeom prst="rect">
              <a:avLst/>
            </a:prstGeom>
            <a:solidFill>
              <a:srgbClr val="E46D0A"/>
            </a:solidFill>
            <a:ln w="9525">
              <a:noFill/>
              <a:miter lim="800000"/>
              <a:headEnd/>
              <a:tailEnd/>
            </a:ln>
          </xdr:spPr>
        </xdr:sp>
        <xdr:sp macro="" textlink="">
          <xdr:nvSpPr>
            <xdr:cNvPr id="2351663" name="Rectangle 21">
              <a:extLst>
                <a:ext uri="{FF2B5EF4-FFF2-40B4-BE49-F238E27FC236}">
                  <a16:creationId xmlns:a16="http://schemas.microsoft.com/office/drawing/2014/main" id="{00000000-0008-0000-0600-00002FE22300}"/>
                </a:ext>
              </a:extLst>
            </xdr:cNvPr>
            <xdr:cNvSpPr>
              <a:spLocks noChangeArrowheads="1"/>
            </xdr:cNvSpPr>
          </xdr:nvSpPr>
          <xdr:spPr bwMode="auto">
            <a:xfrm>
              <a:off x="2092" y="3721"/>
              <a:ext cx="684" cy="132"/>
            </a:xfrm>
            <a:prstGeom prst="rect">
              <a:avLst/>
            </a:prstGeom>
            <a:solidFill>
              <a:srgbClr val="002060"/>
            </a:solidFill>
            <a:ln w="9525">
              <a:noFill/>
              <a:miter lim="800000"/>
              <a:headEnd/>
              <a:tailEnd/>
            </a:ln>
          </xdr:spPr>
        </xdr:sp>
        <xdr:sp macro="" textlink="">
          <xdr:nvSpPr>
            <xdr:cNvPr id="2351664" name="Rectangle 22">
              <a:extLst>
                <a:ext uri="{FF2B5EF4-FFF2-40B4-BE49-F238E27FC236}">
                  <a16:creationId xmlns:a16="http://schemas.microsoft.com/office/drawing/2014/main" id="{00000000-0008-0000-0600-000030E22300}"/>
                </a:ext>
              </a:extLst>
            </xdr:cNvPr>
            <xdr:cNvSpPr>
              <a:spLocks noChangeArrowheads="1"/>
            </xdr:cNvSpPr>
          </xdr:nvSpPr>
          <xdr:spPr bwMode="auto">
            <a:xfrm>
              <a:off x="2092" y="3979"/>
              <a:ext cx="1344" cy="132"/>
            </a:xfrm>
            <a:prstGeom prst="rect">
              <a:avLst/>
            </a:prstGeom>
            <a:solidFill>
              <a:srgbClr val="002060"/>
            </a:solidFill>
            <a:ln w="9525">
              <a:noFill/>
              <a:miter lim="800000"/>
              <a:headEnd/>
              <a:tailEnd/>
            </a:ln>
          </xdr:spPr>
        </xdr:sp>
        <xdr:sp macro="" textlink="">
          <xdr:nvSpPr>
            <xdr:cNvPr id="161" name="Rectangle 23">
              <a:extLst>
                <a:ext uri="{FF2B5EF4-FFF2-40B4-BE49-F238E27FC236}">
                  <a16:creationId xmlns:a16="http://schemas.microsoft.com/office/drawing/2014/main" id="{00000000-0008-0000-0600-0000A1000000}"/>
                </a:ext>
              </a:extLst>
            </xdr:cNvPr>
            <xdr:cNvSpPr>
              <a:spLocks noChangeArrowheads="1"/>
            </xdr:cNvSpPr>
          </xdr:nvSpPr>
          <xdr:spPr bwMode="auto">
            <a:xfrm>
              <a:off x="2374" y="811"/>
              <a:ext cx="156" cy="11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1200" b="1" i="0" u="none" strike="noStrike" cap="none" normalizeH="0" baseline="0">
                  <a:ln>
                    <a:noFill/>
                  </a:ln>
                  <a:solidFill>
                    <a:srgbClr val="FFFFFF"/>
                  </a:solidFill>
                  <a:effectLst/>
                  <a:latin typeface="Arial" pitchFamily="34" charset="0"/>
                  <a:cs typeface="Lucida Sans Unicode" pitchFamily="34" charset="0"/>
                </a:rPr>
                <a:t>% </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62" name="Rectangle 24">
              <a:extLst>
                <a:ext uri="{FF2B5EF4-FFF2-40B4-BE49-F238E27FC236}">
                  <a16:creationId xmlns:a16="http://schemas.microsoft.com/office/drawing/2014/main" id="{00000000-0008-0000-0600-0000A2000000}"/>
                </a:ext>
              </a:extLst>
            </xdr:cNvPr>
            <xdr:cNvSpPr>
              <a:spLocks noChangeArrowheads="1"/>
            </xdr:cNvSpPr>
          </xdr:nvSpPr>
          <xdr:spPr bwMode="auto">
            <a:xfrm>
              <a:off x="2860" y="811"/>
              <a:ext cx="540" cy="11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1200" b="1" i="0" u="none" strike="noStrike" cap="none" normalizeH="0" baseline="0">
                  <a:ln>
                    <a:noFill/>
                  </a:ln>
                  <a:solidFill>
                    <a:srgbClr val="FFFFFF"/>
                  </a:solidFill>
                  <a:effectLst/>
                  <a:latin typeface="Arial" pitchFamily="34" charset="0"/>
                  <a:cs typeface="Lucida Sans Unicode" pitchFamily="34" charset="0"/>
                </a:rPr>
                <a:t>Diferencia </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63" name="Rectangle 25">
              <a:extLst>
                <a:ext uri="{FF2B5EF4-FFF2-40B4-BE49-F238E27FC236}">
                  <a16:creationId xmlns:a16="http://schemas.microsoft.com/office/drawing/2014/main" id="{00000000-0008-0000-0600-0000A3000000}"/>
                </a:ext>
              </a:extLst>
            </xdr:cNvPr>
            <xdr:cNvSpPr>
              <a:spLocks noChangeArrowheads="1"/>
            </xdr:cNvSpPr>
          </xdr:nvSpPr>
          <xdr:spPr bwMode="auto">
            <a:xfrm>
              <a:off x="4048" y="811"/>
              <a:ext cx="606" cy="11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1200" b="1" i="0" u="none" strike="noStrike" cap="none" normalizeH="0" baseline="0">
                  <a:ln>
                    <a:noFill/>
                  </a:ln>
                  <a:solidFill>
                    <a:srgbClr val="FFFFFF"/>
                  </a:solidFill>
                  <a:effectLst/>
                  <a:latin typeface="Arial" pitchFamily="34" charset="0"/>
                  <a:cs typeface="Lucida Sans Unicode" pitchFamily="34" charset="0"/>
                </a:rPr>
                <a:t>Explicacion </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64" name="Rectangle 26">
              <a:extLst>
                <a:ext uri="{FF2B5EF4-FFF2-40B4-BE49-F238E27FC236}">
                  <a16:creationId xmlns:a16="http://schemas.microsoft.com/office/drawing/2014/main" id="{00000000-0008-0000-0600-0000A4000000}"/>
                </a:ext>
              </a:extLst>
            </xdr:cNvPr>
            <xdr:cNvSpPr>
              <a:spLocks noChangeArrowheads="1"/>
            </xdr:cNvSpPr>
          </xdr:nvSpPr>
          <xdr:spPr bwMode="auto">
            <a:xfrm>
              <a:off x="1240" y="937"/>
              <a:ext cx="408" cy="11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1200" b="1" i="0" u="none" strike="noStrike" cap="none" normalizeH="0" baseline="0">
                  <a:ln>
                    <a:noFill/>
                  </a:ln>
                  <a:solidFill>
                    <a:srgbClr val="FFFFFF"/>
                  </a:solidFill>
                  <a:effectLst/>
                  <a:latin typeface="Arial" pitchFamily="34" charset="0"/>
                  <a:cs typeface="Lucida Sans Unicode" pitchFamily="34" charset="0"/>
                </a:rPr>
                <a:t>Rubros </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65" name="Rectangle 27">
              <a:extLst>
                <a:ext uri="{FF2B5EF4-FFF2-40B4-BE49-F238E27FC236}">
                  <a16:creationId xmlns:a16="http://schemas.microsoft.com/office/drawing/2014/main" id="{00000000-0008-0000-0600-0000A5000000}"/>
                </a:ext>
              </a:extLst>
            </xdr:cNvPr>
            <xdr:cNvSpPr>
              <a:spLocks noChangeArrowheads="1"/>
            </xdr:cNvSpPr>
          </xdr:nvSpPr>
          <xdr:spPr bwMode="auto">
            <a:xfrm>
              <a:off x="2116" y="937"/>
              <a:ext cx="690" cy="11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1200" b="1" i="0" u="none" strike="noStrike" cap="none" normalizeH="0" baseline="0">
                  <a:ln>
                    <a:noFill/>
                  </a:ln>
                  <a:solidFill>
                    <a:srgbClr val="FFFFFF"/>
                  </a:solidFill>
                  <a:effectLst/>
                  <a:latin typeface="Arial" pitchFamily="34" charset="0"/>
                  <a:cs typeface="Lucida Sans Unicode" pitchFamily="34" charset="0"/>
                </a:rPr>
                <a:t>Cumplimiento</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66" name="Rectangle 28">
              <a:extLst>
                <a:ext uri="{FF2B5EF4-FFF2-40B4-BE49-F238E27FC236}">
                  <a16:creationId xmlns:a16="http://schemas.microsoft.com/office/drawing/2014/main" id="{00000000-0008-0000-0600-0000A6000000}"/>
                </a:ext>
              </a:extLst>
            </xdr:cNvPr>
            <xdr:cNvSpPr>
              <a:spLocks noChangeArrowheads="1"/>
            </xdr:cNvSpPr>
          </xdr:nvSpPr>
          <xdr:spPr bwMode="auto">
            <a:xfrm>
              <a:off x="2902" y="937"/>
              <a:ext cx="456" cy="11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1200" b="1" i="0" u="none" strike="noStrike" cap="none" normalizeH="0" baseline="0">
                  <a:ln>
                    <a:noFill/>
                  </a:ln>
                  <a:solidFill>
                    <a:srgbClr val="FFFFFF"/>
                  </a:solidFill>
                  <a:effectLst/>
                  <a:latin typeface="Arial" pitchFamily="34" charset="0"/>
                  <a:cs typeface="Lucida Sans Unicode" pitchFamily="34" charset="0"/>
                </a:rPr>
                <a:t>Absoluta</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67" name="Rectangle 29">
              <a:extLst>
                <a:ext uri="{FF2B5EF4-FFF2-40B4-BE49-F238E27FC236}">
                  <a16:creationId xmlns:a16="http://schemas.microsoft.com/office/drawing/2014/main" id="{00000000-0008-0000-0600-0000A7000000}"/>
                </a:ext>
              </a:extLst>
            </xdr:cNvPr>
            <xdr:cNvSpPr>
              <a:spLocks noChangeArrowheads="1"/>
            </xdr:cNvSpPr>
          </xdr:nvSpPr>
          <xdr:spPr bwMode="auto">
            <a:xfrm>
              <a:off x="772" y="1063"/>
              <a:ext cx="450" cy="11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1200" b="1" i="0" u="none" strike="noStrike" cap="none" normalizeH="0" baseline="0">
                  <a:ln>
                    <a:noFill/>
                  </a:ln>
                  <a:solidFill>
                    <a:srgbClr val="FFFFFF"/>
                  </a:solidFill>
                  <a:effectLst/>
                  <a:latin typeface="Arial" pitchFamily="34" charset="0"/>
                  <a:cs typeface="Lucida Sans Unicode" pitchFamily="34" charset="0"/>
                </a:rPr>
                <a:t>Ingresos</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68" name="Rectangle 30">
              <a:extLst>
                <a:ext uri="{FF2B5EF4-FFF2-40B4-BE49-F238E27FC236}">
                  <a16:creationId xmlns:a16="http://schemas.microsoft.com/office/drawing/2014/main" id="{00000000-0008-0000-0600-0000A8000000}"/>
                </a:ext>
              </a:extLst>
            </xdr:cNvPr>
            <xdr:cNvSpPr>
              <a:spLocks noChangeArrowheads="1"/>
            </xdr:cNvSpPr>
          </xdr:nvSpPr>
          <xdr:spPr bwMode="auto">
            <a:xfrm>
              <a:off x="766" y="1213"/>
              <a:ext cx="414"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Cambria" pitchFamily="18" charset="0"/>
                  <a:cs typeface="Lucida Sans Unicode" pitchFamily="34" charset="0"/>
                </a:rPr>
                <a:t>INTERESES </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69" name="Rectangle 31">
              <a:extLst>
                <a:ext uri="{FF2B5EF4-FFF2-40B4-BE49-F238E27FC236}">
                  <a16:creationId xmlns:a16="http://schemas.microsoft.com/office/drawing/2014/main" id="{00000000-0008-0000-0600-0000A9000000}"/>
                </a:ext>
              </a:extLst>
            </xdr:cNvPr>
            <xdr:cNvSpPr>
              <a:spLocks noChangeArrowheads="1"/>
            </xdr:cNvSpPr>
          </xdr:nvSpPr>
          <xdr:spPr bwMode="auto">
            <a:xfrm>
              <a:off x="2500" y="1201"/>
              <a:ext cx="318" cy="102"/>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1100" b="1" i="0" u="none" strike="noStrike" cap="none" normalizeH="0" baseline="0">
                  <a:ln>
                    <a:noFill/>
                  </a:ln>
                  <a:solidFill>
                    <a:srgbClr val="FFFFFF"/>
                  </a:solidFill>
                  <a:effectLst/>
                  <a:latin typeface="Cambria" pitchFamily="18" charset="0"/>
                  <a:cs typeface="Lucida Sans Unicode" pitchFamily="34" charset="0"/>
                </a:rPr>
                <a:t>101%</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71" name="Rectangle 33">
              <a:extLst>
                <a:ext uri="{FF2B5EF4-FFF2-40B4-BE49-F238E27FC236}">
                  <a16:creationId xmlns:a16="http://schemas.microsoft.com/office/drawing/2014/main" id="{00000000-0008-0000-0600-0000AB000000}"/>
                </a:ext>
              </a:extLst>
            </xdr:cNvPr>
            <xdr:cNvSpPr>
              <a:spLocks noChangeArrowheads="1"/>
            </xdr:cNvSpPr>
          </xdr:nvSpPr>
          <xdr:spPr bwMode="auto">
            <a:xfrm>
              <a:off x="3448" y="1207"/>
              <a:ext cx="1656"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Arial" pitchFamily="34" charset="0"/>
                  <a:cs typeface="Lucida Sans Unicode" pitchFamily="34" charset="0"/>
                </a:rPr>
                <a:t>Colocacion por encima de la meta en el 1º trimetre</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72" name="Rectangle 34">
              <a:extLst>
                <a:ext uri="{FF2B5EF4-FFF2-40B4-BE49-F238E27FC236}">
                  <a16:creationId xmlns:a16="http://schemas.microsoft.com/office/drawing/2014/main" id="{00000000-0008-0000-0600-0000AC000000}"/>
                </a:ext>
              </a:extLst>
            </xdr:cNvPr>
            <xdr:cNvSpPr>
              <a:spLocks noChangeArrowheads="1"/>
            </xdr:cNvSpPr>
          </xdr:nvSpPr>
          <xdr:spPr bwMode="auto">
            <a:xfrm>
              <a:off x="772" y="1429"/>
              <a:ext cx="402" cy="11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1200" b="1" i="0" u="none" strike="noStrike" cap="none" normalizeH="0" baseline="0">
                  <a:ln>
                    <a:noFill/>
                  </a:ln>
                  <a:solidFill>
                    <a:srgbClr val="FFFFFF"/>
                  </a:solidFill>
                  <a:effectLst/>
                  <a:latin typeface="Arial" pitchFamily="34" charset="0"/>
                  <a:cs typeface="Lucida Sans Unicode" pitchFamily="34" charset="0"/>
                </a:rPr>
                <a:t>Costos </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73" name="Rectangle 35">
              <a:extLst>
                <a:ext uri="{FF2B5EF4-FFF2-40B4-BE49-F238E27FC236}">
                  <a16:creationId xmlns:a16="http://schemas.microsoft.com/office/drawing/2014/main" id="{00000000-0008-0000-0600-0000AD000000}"/>
                </a:ext>
              </a:extLst>
            </xdr:cNvPr>
            <xdr:cNvSpPr>
              <a:spLocks noChangeArrowheads="1"/>
            </xdr:cNvSpPr>
          </xdr:nvSpPr>
          <xdr:spPr bwMode="auto">
            <a:xfrm>
              <a:off x="766" y="1585"/>
              <a:ext cx="786"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Cambria" pitchFamily="18" charset="0"/>
                  <a:cs typeface="Lucida Sans Unicode" pitchFamily="34" charset="0"/>
                </a:rPr>
                <a:t>INTERESES BANCARIOS</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74" name="Rectangle 36">
              <a:extLst>
                <a:ext uri="{FF2B5EF4-FFF2-40B4-BE49-F238E27FC236}">
                  <a16:creationId xmlns:a16="http://schemas.microsoft.com/office/drawing/2014/main" id="{00000000-0008-0000-0600-0000AE000000}"/>
                </a:ext>
              </a:extLst>
            </xdr:cNvPr>
            <xdr:cNvSpPr>
              <a:spLocks noChangeArrowheads="1"/>
            </xdr:cNvSpPr>
          </xdr:nvSpPr>
          <xdr:spPr bwMode="auto">
            <a:xfrm>
              <a:off x="2608" y="1585"/>
              <a:ext cx="192"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Cambria" pitchFamily="18" charset="0"/>
                  <a:cs typeface="Lucida Sans Unicode" pitchFamily="34" charset="0"/>
                </a:rPr>
                <a:t>71%</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75" name="Rectangle 37">
              <a:extLst>
                <a:ext uri="{FF2B5EF4-FFF2-40B4-BE49-F238E27FC236}">
                  <a16:creationId xmlns:a16="http://schemas.microsoft.com/office/drawing/2014/main" id="{00000000-0008-0000-0600-0000AF000000}"/>
                </a:ext>
              </a:extLst>
            </xdr:cNvPr>
            <xdr:cNvSpPr>
              <a:spLocks noChangeArrowheads="1"/>
            </xdr:cNvSpPr>
          </xdr:nvSpPr>
          <xdr:spPr bwMode="auto">
            <a:xfrm>
              <a:off x="3448" y="1573"/>
              <a:ext cx="1506"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Arial" pitchFamily="34" charset="0"/>
                  <a:cs typeface="Lucida Sans Unicode" pitchFamily="34" charset="0"/>
                </a:rPr>
                <a:t>Dtf bajo y prepago de obligaciones financieras</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76" name="Rectangle 38">
              <a:extLst>
                <a:ext uri="{FF2B5EF4-FFF2-40B4-BE49-F238E27FC236}">
                  <a16:creationId xmlns:a16="http://schemas.microsoft.com/office/drawing/2014/main" id="{00000000-0008-0000-0600-0000B0000000}"/>
                </a:ext>
              </a:extLst>
            </xdr:cNvPr>
            <xdr:cNvSpPr>
              <a:spLocks noChangeArrowheads="1"/>
            </xdr:cNvSpPr>
          </xdr:nvSpPr>
          <xdr:spPr bwMode="auto">
            <a:xfrm>
              <a:off x="766" y="1705"/>
              <a:ext cx="912"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Cambria" pitchFamily="18" charset="0"/>
                  <a:cs typeface="Lucida Sans Unicode" pitchFamily="34" charset="0"/>
                </a:rPr>
                <a:t>INTERESES Y COSTOS CDAT</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77" name="Rectangle 39">
              <a:extLst>
                <a:ext uri="{FF2B5EF4-FFF2-40B4-BE49-F238E27FC236}">
                  <a16:creationId xmlns:a16="http://schemas.microsoft.com/office/drawing/2014/main" id="{00000000-0008-0000-0600-0000B1000000}"/>
                </a:ext>
              </a:extLst>
            </xdr:cNvPr>
            <xdr:cNvSpPr>
              <a:spLocks noChangeArrowheads="1"/>
            </xdr:cNvSpPr>
          </xdr:nvSpPr>
          <xdr:spPr bwMode="auto">
            <a:xfrm>
              <a:off x="2566" y="1705"/>
              <a:ext cx="234"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Cambria" pitchFamily="18" charset="0"/>
                  <a:cs typeface="Lucida Sans Unicode" pitchFamily="34" charset="0"/>
                </a:rPr>
                <a:t>113%</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78" name="Rectangle 40">
              <a:extLst>
                <a:ext uri="{FF2B5EF4-FFF2-40B4-BE49-F238E27FC236}">
                  <a16:creationId xmlns:a16="http://schemas.microsoft.com/office/drawing/2014/main" id="{00000000-0008-0000-0600-0000B2000000}"/>
                </a:ext>
              </a:extLst>
            </xdr:cNvPr>
            <xdr:cNvSpPr>
              <a:spLocks noChangeArrowheads="1"/>
            </xdr:cNvSpPr>
          </xdr:nvSpPr>
          <xdr:spPr bwMode="auto">
            <a:xfrm>
              <a:off x="3448" y="1693"/>
              <a:ext cx="1278"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Arial" pitchFamily="34" charset="0"/>
                  <a:cs typeface="Lucida Sans Unicode" pitchFamily="34" charset="0"/>
                </a:rPr>
                <a:t>Captacion por encima de lo proyectado</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79" name="Rectangle 41">
              <a:extLst>
                <a:ext uri="{FF2B5EF4-FFF2-40B4-BE49-F238E27FC236}">
                  <a16:creationId xmlns:a16="http://schemas.microsoft.com/office/drawing/2014/main" id="{00000000-0008-0000-0600-0000B3000000}"/>
                </a:ext>
              </a:extLst>
            </xdr:cNvPr>
            <xdr:cNvSpPr>
              <a:spLocks noChangeArrowheads="1"/>
            </xdr:cNvSpPr>
          </xdr:nvSpPr>
          <xdr:spPr bwMode="auto">
            <a:xfrm>
              <a:off x="766" y="1825"/>
              <a:ext cx="1194"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Cambria" pitchFamily="18" charset="0"/>
                  <a:cs typeface="Lucida Sans Unicode" pitchFamily="34" charset="0"/>
                </a:rPr>
                <a:t>INTERESES AHORRO CONTRACTUAL</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80" name="Rectangle 42">
              <a:extLst>
                <a:ext uri="{FF2B5EF4-FFF2-40B4-BE49-F238E27FC236}">
                  <a16:creationId xmlns:a16="http://schemas.microsoft.com/office/drawing/2014/main" id="{00000000-0008-0000-0600-0000B4000000}"/>
                </a:ext>
              </a:extLst>
            </xdr:cNvPr>
            <xdr:cNvSpPr>
              <a:spLocks noChangeArrowheads="1"/>
            </xdr:cNvSpPr>
          </xdr:nvSpPr>
          <xdr:spPr bwMode="auto">
            <a:xfrm>
              <a:off x="2608" y="1825"/>
              <a:ext cx="192"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Cambria" pitchFamily="18" charset="0"/>
                  <a:cs typeface="Lucida Sans Unicode" pitchFamily="34" charset="0"/>
                </a:rPr>
                <a:t>98%</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81" name="Rectangle 43">
              <a:extLst>
                <a:ext uri="{FF2B5EF4-FFF2-40B4-BE49-F238E27FC236}">
                  <a16:creationId xmlns:a16="http://schemas.microsoft.com/office/drawing/2014/main" id="{00000000-0008-0000-0600-0000B5000000}"/>
                </a:ext>
              </a:extLst>
            </xdr:cNvPr>
            <xdr:cNvSpPr>
              <a:spLocks noChangeArrowheads="1"/>
            </xdr:cNvSpPr>
          </xdr:nvSpPr>
          <xdr:spPr bwMode="auto">
            <a:xfrm>
              <a:off x="3448" y="1813"/>
              <a:ext cx="1266"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Arial" pitchFamily="34" charset="0"/>
                  <a:cs typeface="Lucida Sans Unicode" pitchFamily="34" charset="0"/>
                </a:rPr>
                <a:t>Captacion por debajo de lo proyectado</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82" name="Rectangle 44">
              <a:extLst>
                <a:ext uri="{FF2B5EF4-FFF2-40B4-BE49-F238E27FC236}">
                  <a16:creationId xmlns:a16="http://schemas.microsoft.com/office/drawing/2014/main" id="{00000000-0008-0000-0600-0000B6000000}"/>
                </a:ext>
              </a:extLst>
            </xdr:cNvPr>
            <xdr:cNvSpPr>
              <a:spLocks noChangeArrowheads="1"/>
            </xdr:cNvSpPr>
          </xdr:nvSpPr>
          <xdr:spPr bwMode="auto">
            <a:xfrm>
              <a:off x="766" y="1945"/>
              <a:ext cx="1158"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Cambria" pitchFamily="18" charset="0"/>
                  <a:cs typeface="Lucida Sans Unicode" pitchFamily="34" charset="0"/>
                </a:rPr>
                <a:t>INTERESES AHORRO PERMANENTE</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83" name="Rectangle 45">
              <a:extLst>
                <a:ext uri="{FF2B5EF4-FFF2-40B4-BE49-F238E27FC236}">
                  <a16:creationId xmlns:a16="http://schemas.microsoft.com/office/drawing/2014/main" id="{00000000-0008-0000-0600-0000B7000000}"/>
                </a:ext>
              </a:extLst>
            </xdr:cNvPr>
            <xdr:cNvSpPr>
              <a:spLocks noChangeArrowheads="1"/>
            </xdr:cNvSpPr>
          </xdr:nvSpPr>
          <xdr:spPr bwMode="auto">
            <a:xfrm>
              <a:off x="2566" y="1945"/>
              <a:ext cx="234"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Cambria" pitchFamily="18" charset="0"/>
                  <a:cs typeface="Lucida Sans Unicode" pitchFamily="34" charset="0"/>
                </a:rPr>
                <a:t>100%</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84" name="Rectangle 46">
              <a:extLst>
                <a:ext uri="{FF2B5EF4-FFF2-40B4-BE49-F238E27FC236}">
                  <a16:creationId xmlns:a16="http://schemas.microsoft.com/office/drawing/2014/main" id="{00000000-0008-0000-0600-0000B8000000}"/>
                </a:ext>
              </a:extLst>
            </xdr:cNvPr>
            <xdr:cNvSpPr>
              <a:spLocks noChangeArrowheads="1"/>
            </xdr:cNvSpPr>
          </xdr:nvSpPr>
          <xdr:spPr bwMode="auto">
            <a:xfrm>
              <a:off x="772" y="2041"/>
              <a:ext cx="630" cy="11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1200" b="1" i="0" u="none" strike="noStrike" cap="none" normalizeH="0" baseline="0">
                  <a:ln>
                    <a:noFill/>
                  </a:ln>
                  <a:solidFill>
                    <a:srgbClr val="FFFFFF"/>
                  </a:solidFill>
                  <a:effectLst/>
                  <a:latin typeface="Arial" pitchFamily="34" charset="0"/>
                  <a:cs typeface="Lucida Sans Unicode" pitchFamily="34" charset="0"/>
                </a:rPr>
                <a:t>Total Costos</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85" name="Rectangle 47">
              <a:extLst>
                <a:ext uri="{FF2B5EF4-FFF2-40B4-BE49-F238E27FC236}">
                  <a16:creationId xmlns:a16="http://schemas.microsoft.com/office/drawing/2014/main" id="{00000000-0008-0000-0600-0000B9000000}"/>
                </a:ext>
              </a:extLst>
            </xdr:cNvPr>
            <xdr:cNvSpPr>
              <a:spLocks noChangeArrowheads="1"/>
            </xdr:cNvSpPr>
          </xdr:nvSpPr>
          <xdr:spPr bwMode="auto">
            <a:xfrm>
              <a:off x="2500" y="2041"/>
              <a:ext cx="318" cy="102"/>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1100" b="1" i="0" u="none" strike="noStrike" cap="none" normalizeH="0" baseline="0">
                  <a:ln>
                    <a:noFill/>
                  </a:ln>
                  <a:solidFill>
                    <a:srgbClr val="FFFFFF"/>
                  </a:solidFill>
                  <a:effectLst/>
                  <a:latin typeface="Cambria" pitchFamily="18" charset="0"/>
                  <a:cs typeface="Lucida Sans Unicode" pitchFamily="34" charset="0"/>
                </a:rPr>
                <a:t>97%</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86" name="Rectangle 48">
              <a:extLst>
                <a:ext uri="{FF2B5EF4-FFF2-40B4-BE49-F238E27FC236}">
                  <a16:creationId xmlns:a16="http://schemas.microsoft.com/office/drawing/2014/main" id="{00000000-0008-0000-0600-0000BA000000}"/>
                </a:ext>
              </a:extLst>
            </xdr:cNvPr>
            <xdr:cNvSpPr>
              <a:spLocks noChangeArrowheads="1"/>
            </xdr:cNvSpPr>
          </xdr:nvSpPr>
          <xdr:spPr bwMode="auto">
            <a:xfrm>
              <a:off x="2878" y="2053"/>
              <a:ext cx="522" cy="20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lang="es-ES" sz="1100" b="0" i="0" u="none" strike="noStrike" kern="1200">
                  <a:solidFill>
                    <a:schemeClr val="bg1"/>
                  </a:solidFill>
                  <a:latin typeface="Arial" charset="0"/>
                  <a:ea typeface="+mn-ea"/>
                  <a:cs typeface="Lucida Sans Unicode" pitchFamily="34" charset="0"/>
                </a:rPr>
                <a:t>9,372,358.34  </a:t>
              </a:r>
              <a:r>
                <a:rPr kumimoji="0" lang="es-ES" sz="1000" b="1" i="0" u="none" strike="noStrike" cap="none" normalizeH="0" baseline="0">
                  <a:ln>
                    <a:noFill/>
                  </a:ln>
                  <a:solidFill>
                    <a:schemeClr val="bg1"/>
                  </a:solidFill>
                  <a:effectLst/>
                  <a:latin typeface="Cambria" pitchFamily="18" charset="0"/>
                  <a:cs typeface="Lucida Sans Unicode" pitchFamily="34" charset="0"/>
                </a:rPr>
                <a:t>2,57</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87" name="Rectangle 49">
              <a:extLst>
                <a:ext uri="{FF2B5EF4-FFF2-40B4-BE49-F238E27FC236}">
                  <a16:creationId xmlns:a16="http://schemas.microsoft.com/office/drawing/2014/main" id="{00000000-0008-0000-0600-0000BB000000}"/>
                </a:ext>
              </a:extLst>
            </xdr:cNvPr>
            <xdr:cNvSpPr>
              <a:spLocks noChangeArrowheads="1"/>
            </xdr:cNvSpPr>
          </xdr:nvSpPr>
          <xdr:spPr bwMode="auto">
            <a:xfrm>
              <a:off x="3448" y="2053"/>
              <a:ext cx="1350"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Arial" pitchFamily="34" charset="0"/>
                  <a:cs typeface="Lucida Sans Unicode" pitchFamily="34" charset="0"/>
                </a:rPr>
                <a:t>Comportamiento ilustrado rubro por rubro</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88" name="Rectangle 50">
              <a:extLst>
                <a:ext uri="{FF2B5EF4-FFF2-40B4-BE49-F238E27FC236}">
                  <a16:creationId xmlns:a16="http://schemas.microsoft.com/office/drawing/2014/main" id="{00000000-0008-0000-0600-0000BC000000}"/>
                </a:ext>
              </a:extLst>
            </xdr:cNvPr>
            <xdr:cNvSpPr>
              <a:spLocks noChangeArrowheads="1"/>
            </xdr:cNvSpPr>
          </xdr:nvSpPr>
          <xdr:spPr bwMode="auto">
            <a:xfrm>
              <a:off x="772" y="2281"/>
              <a:ext cx="1122" cy="11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1200" b="1" i="0" u="none" strike="noStrike" cap="none" normalizeH="0" baseline="0">
                  <a:ln>
                    <a:noFill/>
                  </a:ln>
                  <a:solidFill>
                    <a:srgbClr val="FFFFFF"/>
                  </a:solidFill>
                  <a:effectLst/>
                  <a:latin typeface="Arial" pitchFamily="34" charset="0"/>
                  <a:cs typeface="Lucida Sans Unicode" pitchFamily="34" charset="0"/>
                </a:rPr>
                <a:t>Gastos Administrativos</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89" name="Rectangle 51">
              <a:extLst>
                <a:ext uri="{FF2B5EF4-FFF2-40B4-BE49-F238E27FC236}">
                  <a16:creationId xmlns:a16="http://schemas.microsoft.com/office/drawing/2014/main" id="{00000000-0008-0000-0600-0000BD000000}"/>
                </a:ext>
              </a:extLst>
            </xdr:cNvPr>
            <xdr:cNvSpPr>
              <a:spLocks noChangeArrowheads="1"/>
            </xdr:cNvSpPr>
          </xdr:nvSpPr>
          <xdr:spPr bwMode="auto">
            <a:xfrm>
              <a:off x="766" y="2431"/>
              <a:ext cx="786"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Cambria" pitchFamily="18" charset="0"/>
                  <a:cs typeface="Lucida Sans Unicode" pitchFamily="34" charset="0"/>
                </a:rPr>
                <a:t>TELEFONO e INTERNET</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90" name="Rectangle 52">
              <a:extLst>
                <a:ext uri="{FF2B5EF4-FFF2-40B4-BE49-F238E27FC236}">
                  <a16:creationId xmlns:a16="http://schemas.microsoft.com/office/drawing/2014/main" id="{00000000-0008-0000-0600-0000BE000000}"/>
                </a:ext>
              </a:extLst>
            </xdr:cNvPr>
            <xdr:cNvSpPr>
              <a:spLocks noChangeArrowheads="1"/>
            </xdr:cNvSpPr>
          </xdr:nvSpPr>
          <xdr:spPr bwMode="auto">
            <a:xfrm>
              <a:off x="2608" y="2431"/>
              <a:ext cx="192"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Cambria" pitchFamily="18" charset="0"/>
                  <a:cs typeface="Lucida Sans Unicode" pitchFamily="34" charset="0"/>
                </a:rPr>
                <a:t>93%</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91" name="Rectangle 53">
              <a:extLst>
                <a:ext uri="{FF2B5EF4-FFF2-40B4-BE49-F238E27FC236}">
                  <a16:creationId xmlns:a16="http://schemas.microsoft.com/office/drawing/2014/main" id="{00000000-0008-0000-0600-0000BF000000}"/>
                </a:ext>
              </a:extLst>
            </xdr:cNvPr>
            <xdr:cNvSpPr>
              <a:spLocks noChangeArrowheads="1"/>
            </xdr:cNvSpPr>
          </xdr:nvSpPr>
          <xdr:spPr bwMode="auto">
            <a:xfrm>
              <a:off x="3448" y="2425"/>
              <a:ext cx="1194"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Arial" pitchFamily="34" charset="0"/>
                  <a:cs typeface="Lucida Sans Unicode" pitchFamily="34" charset="0"/>
                </a:rPr>
                <a:t>Gestion de optimizacion de recursos</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92" name="Rectangle 54">
              <a:extLst>
                <a:ext uri="{FF2B5EF4-FFF2-40B4-BE49-F238E27FC236}">
                  <a16:creationId xmlns:a16="http://schemas.microsoft.com/office/drawing/2014/main" id="{00000000-0008-0000-0600-0000C0000000}"/>
                </a:ext>
              </a:extLst>
            </xdr:cNvPr>
            <xdr:cNvSpPr>
              <a:spLocks noChangeArrowheads="1"/>
            </xdr:cNvSpPr>
          </xdr:nvSpPr>
          <xdr:spPr bwMode="auto">
            <a:xfrm>
              <a:off x="766" y="2551"/>
              <a:ext cx="768"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Cambria" pitchFamily="18" charset="0"/>
                  <a:cs typeface="Lucida Sans Unicode" pitchFamily="34" charset="0"/>
                </a:rPr>
                <a:t>PORTES, CABLES Y FAX</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93" name="Rectangle 55">
              <a:extLst>
                <a:ext uri="{FF2B5EF4-FFF2-40B4-BE49-F238E27FC236}">
                  <a16:creationId xmlns:a16="http://schemas.microsoft.com/office/drawing/2014/main" id="{00000000-0008-0000-0600-0000C1000000}"/>
                </a:ext>
              </a:extLst>
            </xdr:cNvPr>
            <xdr:cNvSpPr>
              <a:spLocks noChangeArrowheads="1"/>
            </xdr:cNvSpPr>
          </xdr:nvSpPr>
          <xdr:spPr bwMode="auto">
            <a:xfrm>
              <a:off x="2608" y="2551"/>
              <a:ext cx="192"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Cambria" pitchFamily="18" charset="0"/>
                  <a:cs typeface="Lucida Sans Unicode" pitchFamily="34" charset="0"/>
                </a:rPr>
                <a:t>65%</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94" name="Rectangle 56">
              <a:extLst>
                <a:ext uri="{FF2B5EF4-FFF2-40B4-BE49-F238E27FC236}">
                  <a16:creationId xmlns:a16="http://schemas.microsoft.com/office/drawing/2014/main" id="{00000000-0008-0000-0600-0000C2000000}"/>
                </a:ext>
              </a:extLst>
            </xdr:cNvPr>
            <xdr:cNvSpPr>
              <a:spLocks noChangeArrowheads="1"/>
            </xdr:cNvSpPr>
          </xdr:nvSpPr>
          <xdr:spPr bwMode="auto">
            <a:xfrm>
              <a:off x="3448" y="2545"/>
              <a:ext cx="1194"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Arial" pitchFamily="34" charset="0"/>
                  <a:cs typeface="Lucida Sans Unicode" pitchFamily="34" charset="0"/>
                </a:rPr>
                <a:t>Gestion de optimizacion de recursos</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95" name="Rectangle 57">
              <a:extLst>
                <a:ext uri="{FF2B5EF4-FFF2-40B4-BE49-F238E27FC236}">
                  <a16:creationId xmlns:a16="http://schemas.microsoft.com/office/drawing/2014/main" id="{00000000-0008-0000-0600-0000C3000000}"/>
                </a:ext>
              </a:extLst>
            </xdr:cNvPr>
            <xdr:cNvSpPr>
              <a:spLocks noChangeArrowheads="1"/>
            </xdr:cNvSpPr>
          </xdr:nvSpPr>
          <xdr:spPr bwMode="auto">
            <a:xfrm>
              <a:off x="766" y="2671"/>
              <a:ext cx="474"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Cambria" pitchFamily="18" charset="0"/>
                  <a:cs typeface="Lucida Sans Unicode" pitchFamily="34" charset="0"/>
                </a:rPr>
                <a:t>TRANSPORTE</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96" name="Rectangle 58">
              <a:extLst>
                <a:ext uri="{FF2B5EF4-FFF2-40B4-BE49-F238E27FC236}">
                  <a16:creationId xmlns:a16="http://schemas.microsoft.com/office/drawing/2014/main" id="{00000000-0008-0000-0600-0000C4000000}"/>
                </a:ext>
              </a:extLst>
            </xdr:cNvPr>
            <xdr:cNvSpPr>
              <a:spLocks noChangeArrowheads="1"/>
            </xdr:cNvSpPr>
          </xdr:nvSpPr>
          <xdr:spPr bwMode="auto">
            <a:xfrm>
              <a:off x="2608" y="2671"/>
              <a:ext cx="192"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Cambria" pitchFamily="18" charset="0"/>
                  <a:cs typeface="Lucida Sans Unicode" pitchFamily="34" charset="0"/>
                </a:rPr>
                <a:t>75%</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97" name="Rectangle 59">
              <a:extLst>
                <a:ext uri="{FF2B5EF4-FFF2-40B4-BE49-F238E27FC236}">
                  <a16:creationId xmlns:a16="http://schemas.microsoft.com/office/drawing/2014/main" id="{00000000-0008-0000-0600-0000C5000000}"/>
                </a:ext>
              </a:extLst>
            </xdr:cNvPr>
            <xdr:cNvSpPr>
              <a:spLocks noChangeArrowheads="1"/>
            </xdr:cNvSpPr>
          </xdr:nvSpPr>
          <xdr:spPr bwMode="auto">
            <a:xfrm>
              <a:off x="3448" y="2665"/>
              <a:ext cx="1194"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Arial" pitchFamily="34" charset="0"/>
                  <a:cs typeface="Lucida Sans Unicode" pitchFamily="34" charset="0"/>
                </a:rPr>
                <a:t>Gestion de optimizacion de recursos</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98" name="Rectangle 60">
              <a:extLst>
                <a:ext uri="{FF2B5EF4-FFF2-40B4-BE49-F238E27FC236}">
                  <a16:creationId xmlns:a16="http://schemas.microsoft.com/office/drawing/2014/main" id="{00000000-0008-0000-0600-0000C6000000}"/>
                </a:ext>
              </a:extLst>
            </xdr:cNvPr>
            <xdr:cNvSpPr>
              <a:spLocks noChangeArrowheads="1"/>
            </xdr:cNvSpPr>
          </xdr:nvSpPr>
          <xdr:spPr bwMode="auto">
            <a:xfrm>
              <a:off x="766" y="2791"/>
              <a:ext cx="1146"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Cambria" pitchFamily="18" charset="0"/>
                  <a:cs typeface="Lucida Sans Unicode" pitchFamily="34" charset="0"/>
                </a:rPr>
                <a:t>PROVISION CREDITO DE CONSUMO</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199" name="Rectangle 61">
              <a:extLst>
                <a:ext uri="{FF2B5EF4-FFF2-40B4-BE49-F238E27FC236}">
                  <a16:creationId xmlns:a16="http://schemas.microsoft.com/office/drawing/2014/main" id="{00000000-0008-0000-0600-0000C7000000}"/>
                </a:ext>
              </a:extLst>
            </xdr:cNvPr>
            <xdr:cNvSpPr>
              <a:spLocks noChangeArrowheads="1"/>
            </xdr:cNvSpPr>
          </xdr:nvSpPr>
          <xdr:spPr bwMode="auto">
            <a:xfrm>
              <a:off x="2650" y="2791"/>
              <a:ext cx="150"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Cambria" pitchFamily="18" charset="0"/>
                  <a:cs typeface="Lucida Sans Unicode" pitchFamily="34" charset="0"/>
                </a:rPr>
                <a:t>0%</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200" name="Rectangle 62">
              <a:extLst>
                <a:ext uri="{FF2B5EF4-FFF2-40B4-BE49-F238E27FC236}">
                  <a16:creationId xmlns:a16="http://schemas.microsoft.com/office/drawing/2014/main" id="{00000000-0008-0000-0600-0000C8000000}"/>
                </a:ext>
              </a:extLst>
            </xdr:cNvPr>
            <xdr:cNvSpPr>
              <a:spLocks noChangeArrowheads="1"/>
            </xdr:cNvSpPr>
          </xdr:nvSpPr>
          <xdr:spPr bwMode="auto">
            <a:xfrm>
              <a:off x="3448" y="2785"/>
              <a:ext cx="1194"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Arial" pitchFamily="34" charset="0"/>
                  <a:cs typeface="Lucida Sans Unicode" pitchFamily="34" charset="0"/>
                </a:rPr>
                <a:t>Gestion de optimizacion de recursos</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201" name="Rectangle 63">
              <a:extLst>
                <a:ext uri="{FF2B5EF4-FFF2-40B4-BE49-F238E27FC236}">
                  <a16:creationId xmlns:a16="http://schemas.microsoft.com/office/drawing/2014/main" id="{00000000-0008-0000-0600-0000C9000000}"/>
                </a:ext>
              </a:extLst>
            </xdr:cNvPr>
            <xdr:cNvSpPr>
              <a:spLocks noChangeArrowheads="1"/>
            </xdr:cNvSpPr>
          </xdr:nvSpPr>
          <xdr:spPr bwMode="auto">
            <a:xfrm>
              <a:off x="766" y="2911"/>
              <a:ext cx="1098"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Cambria" pitchFamily="18" charset="0"/>
                  <a:cs typeface="Lucida Sans Unicode" pitchFamily="34" charset="0"/>
                </a:rPr>
                <a:t>GASTOS BANCARIOS CHEQUERAS</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202" name="Rectangle 64">
              <a:extLst>
                <a:ext uri="{FF2B5EF4-FFF2-40B4-BE49-F238E27FC236}">
                  <a16:creationId xmlns:a16="http://schemas.microsoft.com/office/drawing/2014/main" id="{00000000-0008-0000-0600-0000CA000000}"/>
                </a:ext>
              </a:extLst>
            </xdr:cNvPr>
            <xdr:cNvSpPr>
              <a:spLocks noChangeArrowheads="1"/>
            </xdr:cNvSpPr>
          </xdr:nvSpPr>
          <xdr:spPr bwMode="auto">
            <a:xfrm>
              <a:off x="2608" y="2911"/>
              <a:ext cx="192"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Cambria" pitchFamily="18" charset="0"/>
                  <a:cs typeface="Lucida Sans Unicode" pitchFamily="34" charset="0"/>
                </a:rPr>
                <a:t>76%</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203" name="Rectangle 65">
              <a:extLst>
                <a:ext uri="{FF2B5EF4-FFF2-40B4-BE49-F238E27FC236}">
                  <a16:creationId xmlns:a16="http://schemas.microsoft.com/office/drawing/2014/main" id="{00000000-0008-0000-0600-0000CB000000}"/>
                </a:ext>
              </a:extLst>
            </xdr:cNvPr>
            <xdr:cNvSpPr>
              <a:spLocks noChangeArrowheads="1"/>
            </xdr:cNvSpPr>
          </xdr:nvSpPr>
          <xdr:spPr bwMode="auto">
            <a:xfrm>
              <a:off x="3448" y="2905"/>
              <a:ext cx="1194"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Arial" pitchFamily="34" charset="0"/>
                  <a:cs typeface="Lucida Sans Unicode" pitchFamily="34" charset="0"/>
                </a:rPr>
                <a:t>Gestion de optimizacion de recursos</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204" name="Rectangle 66">
              <a:extLst>
                <a:ext uri="{FF2B5EF4-FFF2-40B4-BE49-F238E27FC236}">
                  <a16:creationId xmlns:a16="http://schemas.microsoft.com/office/drawing/2014/main" id="{00000000-0008-0000-0600-0000CC000000}"/>
                </a:ext>
              </a:extLst>
            </xdr:cNvPr>
            <xdr:cNvSpPr>
              <a:spLocks noChangeArrowheads="1"/>
            </xdr:cNvSpPr>
          </xdr:nvSpPr>
          <xdr:spPr bwMode="auto">
            <a:xfrm>
              <a:off x="766" y="3031"/>
              <a:ext cx="834"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Cambria" pitchFamily="18" charset="0"/>
                  <a:cs typeface="Lucida Sans Unicode" pitchFamily="34" charset="0"/>
                </a:rPr>
                <a:t>COMISIONES BANCARIAS</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205" name="Rectangle 67">
              <a:extLst>
                <a:ext uri="{FF2B5EF4-FFF2-40B4-BE49-F238E27FC236}">
                  <a16:creationId xmlns:a16="http://schemas.microsoft.com/office/drawing/2014/main" id="{00000000-0008-0000-0600-0000CD000000}"/>
                </a:ext>
              </a:extLst>
            </xdr:cNvPr>
            <xdr:cNvSpPr>
              <a:spLocks noChangeArrowheads="1"/>
            </xdr:cNvSpPr>
          </xdr:nvSpPr>
          <xdr:spPr bwMode="auto">
            <a:xfrm>
              <a:off x="2608" y="3031"/>
              <a:ext cx="192"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Cambria" pitchFamily="18" charset="0"/>
                  <a:cs typeface="Lucida Sans Unicode" pitchFamily="34" charset="0"/>
                </a:rPr>
                <a:t>47%</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206" name="Rectangle 68">
              <a:extLst>
                <a:ext uri="{FF2B5EF4-FFF2-40B4-BE49-F238E27FC236}">
                  <a16:creationId xmlns:a16="http://schemas.microsoft.com/office/drawing/2014/main" id="{00000000-0008-0000-0600-0000CE000000}"/>
                </a:ext>
              </a:extLst>
            </xdr:cNvPr>
            <xdr:cNvSpPr>
              <a:spLocks noChangeArrowheads="1"/>
            </xdr:cNvSpPr>
          </xdr:nvSpPr>
          <xdr:spPr bwMode="auto">
            <a:xfrm>
              <a:off x="3448" y="3025"/>
              <a:ext cx="1194"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Arial" pitchFamily="34" charset="0"/>
                  <a:cs typeface="Lucida Sans Unicode" pitchFamily="34" charset="0"/>
                </a:rPr>
                <a:t>Gestion de optimizacion de recursos</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207" name="Rectangle 69">
              <a:extLst>
                <a:ext uri="{FF2B5EF4-FFF2-40B4-BE49-F238E27FC236}">
                  <a16:creationId xmlns:a16="http://schemas.microsoft.com/office/drawing/2014/main" id="{00000000-0008-0000-0600-0000CF000000}"/>
                </a:ext>
              </a:extLst>
            </xdr:cNvPr>
            <xdr:cNvSpPr>
              <a:spLocks noChangeArrowheads="1"/>
            </xdr:cNvSpPr>
          </xdr:nvSpPr>
          <xdr:spPr bwMode="auto">
            <a:xfrm>
              <a:off x="766" y="3151"/>
              <a:ext cx="282"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Cambria" pitchFamily="18" charset="0"/>
                  <a:cs typeface="Lucida Sans Unicode" pitchFamily="34" charset="0"/>
                </a:rPr>
                <a:t>C.I.F.I.N</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208" name="Rectangle 70">
              <a:extLst>
                <a:ext uri="{FF2B5EF4-FFF2-40B4-BE49-F238E27FC236}">
                  <a16:creationId xmlns:a16="http://schemas.microsoft.com/office/drawing/2014/main" id="{00000000-0008-0000-0600-0000D0000000}"/>
                </a:ext>
              </a:extLst>
            </xdr:cNvPr>
            <xdr:cNvSpPr>
              <a:spLocks noChangeArrowheads="1"/>
            </xdr:cNvSpPr>
          </xdr:nvSpPr>
          <xdr:spPr bwMode="auto">
            <a:xfrm>
              <a:off x="2608" y="3151"/>
              <a:ext cx="192"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Cambria" pitchFamily="18" charset="0"/>
                  <a:cs typeface="Lucida Sans Unicode" pitchFamily="34" charset="0"/>
                </a:rPr>
                <a:t>61%</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209" name="Rectangle 71">
              <a:extLst>
                <a:ext uri="{FF2B5EF4-FFF2-40B4-BE49-F238E27FC236}">
                  <a16:creationId xmlns:a16="http://schemas.microsoft.com/office/drawing/2014/main" id="{00000000-0008-0000-0600-0000D1000000}"/>
                </a:ext>
              </a:extLst>
            </xdr:cNvPr>
            <xdr:cNvSpPr>
              <a:spLocks noChangeArrowheads="1"/>
            </xdr:cNvSpPr>
          </xdr:nvSpPr>
          <xdr:spPr bwMode="auto">
            <a:xfrm>
              <a:off x="3448" y="3145"/>
              <a:ext cx="912" cy="8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900" b="0" i="0" u="none" strike="noStrike" cap="none" normalizeH="0" baseline="0">
                  <a:ln>
                    <a:noFill/>
                  </a:ln>
                  <a:solidFill>
                    <a:srgbClr val="000000"/>
                  </a:solidFill>
                  <a:effectLst/>
                  <a:latin typeface="Arial" pitchFamily="34" charset="0"/>
                  <a:cs typeface="Lucida Sans Unicode" pitchFamily="34" charset="0"/>
                </a:rPr>
                <a:t>Menor consultas realizadas</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210" name="Rectangle 72">
              <a:extLst>
                <a:ext uri="{FF2B5EF4-FFF2-40B4-BE49-F238E27FC236}">
                  <a16:creationId xmlns:a16="http://schemas.microsoft.com/office/drawing/2014/main" id="{00000000-0008-0000-0600-0000D2000000}"/>
                </a:ext>
              </a:extLst>
            </xdr:cNvPr>
            <xdr:cNvSpPr>
              <a:spLocks noChangeArrowheads="1"/>
            </xdr:cNvSpPr>
          </xdr:nvSpPr>
          <xdr:spPr bwMode="auto">
            <a:xfrm>
              <a:off x="772" y="3247"/>
              <a:ext cx="1374" cy="11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1200" b="1" i="0" u="none" strike="noStrike" cap="none" normalizeH="0" baseline="0">
                  <a:ln>
                    <a:noFill/>
                  </a:ln>
                  <a:solidFill>
                    <a:srgbClr val="FFFFFF"/>
                  </a:solidFill>
                  <a:effectLst/>
                  <a:latin typeface="Arial" pitchFamily="34" charset="0"/>
                  <a:cs typeface="Lucida Sans Unicode" pitchFamily="34" charset="0"/>
                </a:rPr>
                <a:t>Total Gastos Administrativos</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211" name="Rectangle 73">
              <a:extLst>
                <a:ext uri="{FF2B5EF4-FFF2-40B4-BE49-F238E27FC236}">
                  <a16:creationId xmlns:a16="http://schemas.microsoft.com/office/drawing/2014/main" id="{00000000-0008-0000-0600-0000D3000000}"/>
                </a:ext>
              </a:extLst>
            </xdr:cNvPr>
            <xdr:cNvSpPr>
              <a:spLocks noChangeArrowheads="1"/>
            </xdr:cNvSpPr>
          </xdr:nvSpPr>
          <xdr:spPr bwMode="auto">
            <a:xfrm>
              <a:off x="2554" y="3253"/>
              <a:ext cx="264" cy="108"/>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1100" b="1" i="0" u="none" strike="noStrike" cap="none" normalizeH="0" baseline="0">
                  <a:ln>
                    <a:noFill/>
                  </a:ln>
                  <a:solidFill>
                    <a:srgbClr val="FFFFFF"/>
                  </a:solidFill>
                  <a:effectLst/>
                  <a:latin typeface="Cambria" pitchFamily="18" charset="0"/>
                  <a:cs typeface="Lucida Sans Unicode" pitchFamily="34" charset="0"/>
                </a:rPr>
                <a:t>84%</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212" name="Rectangle 74">
              <a:extLst>
                <a:ext uri="{FF2B5EF4-FFF2-40B4-BE49-F238E27FC236}">
                  <a16:creationId xmlns:a16="http://schemas.microsoft.com/office/drawing/2014/main" id="{00000000-0008-0000-0600-0000D4000000}"/>
                </a:ext>
              </a:extLst>
            </xdr:cNvPr>
            <xdr:cNvSpPr>
              <a:spLocks noChangeArrowheads="1"/>
            </xdr:cNvSpPr>
          </xdr:nvSpPr>
          <xdr:spPr bwMode="auto">
            <a:xfrm>
              <a:off x="2800" y="3265"/>
              <a:ext cx="600" cy="198"/>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1000" b="1" i="0" u="none" strike="noStrike" cap="none" normalizeH="0" baseline="0">
                  <a:ln>
                    <a:noFill/>
                  </a:ln>
                  <a:solidFill>
                    <a:srgbClr val="FFFFFF"/>
                  </a:solidFill>
                  <a:effectLst/>
                  <a:latin typeface="Cambria" pitchFamily="18" charset="0"/>
                  <a:cs typeface="Lucida Sans Unicode" pitchFamily="34" charset="0"/>
                </a:rPr>
                <a:t>-</a:t>
              </a:r>
              <a:r>
                <a:rPr lang="es-ES" sz="1100" b="0" i="0" u="none" strike="noStrike" kern="1200">
                  <a:solidFill>
                    <a:schemeClr val="bg1"/>
                  </a:solidFill>
                  <a:latin typeface="Arial" charset="0"/>
                  <a:ea typeface="+mn-ea"/>
                  <a:cs typeface="Lucida Sans Unicode" pitchFamily="34" charset="0"/>
                </a:rPr>
                <a:t>34,400,905.55  </a:t>
              </a:r>
              <a:r>
                <a:rPr kumimoji="0" lang="es-ES" sz="1000" b="1" i="0" u="none" strike="noStrike" cap="none" normalizeH="0" baseline="0">
                  <a:ln>
                    <a:noFill/>
                  </a:ln>
                  <a:solidFill>
                    <a:srgbClr val="FFFFFF"/>
                  </a:solidFill>
                  <a:effectLst/>
                  <a:latin typeface="Cambria" pitchFamily="18" charset="0"/>
                  <a:cs typeface="Lucida Sans Unicode" pitchFamily="34" charset="0"/>
                </a:rPr>
                <a:t>17,094,829.53 </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213" name="Rectangle 75">
              <a:extLst>
                <a:ext uri="{FF2B5EF4-FFF2-40B4-BE49-F238E27FC236}">
                  <a16:creationId xmlns:a16="http://schemas.microsoft.com/office/drawing/2014/main" id="{00000000-0008-0000-0600-0000D5000000}"/>
                </a:ext>
              </a:extLst>
            </xdr:cNvPr>
            <xdr:cNvSpPr>
              <a:spLocks noChangeArrowheads="1"/>
            </xdr:cNvSpPr>
          </xdr:nvSpPr>
          <xdr:spPr bwMode="auto">
            <a:xfrm>
              <a:off x="772" y="3613"/>
              <a:ext cx="1014" cy="11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1200" b="1" i="0" u="none" strike="noStrike" cap="none" normalizeH="0" baseline="0">
                  <a:ln>
                    <a:noFill/>
                  </a:ln>
                  <a:solidFill>
                    <a:srgbClr val="000000"/>
                  </a:solidFill>
                  <a:effectLst/>
                  <a:latin typeface="Arial" pitchFamily="34" charset="0"/>
                  <a:cs typeface="Lucida Sans Unicode" pitchFamily="34" charset="0"/>
                </a:rPr>
                <a:t>Excedente Ejecutado</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214" name="Rectangle 76">
              <a:extLst>
                <a:ext uri="{FF2B5EF4-FFF2-40B4-BE49-F238E27FC236}">
                  <a16:creationId xmlns:a16="http://schemas.microsoft.com/office/drawing/2014/main" id="{00000000-0008-0000-0600-0000D6000000}"/>
                </a:ext>
              </a:extLst>
            </xdr:cNvPr>
            <xdr:cNvSpPr>
              <a:spLocks noChangeArrowheads="1"/>
            </xdr:cNvSpPr>
          </xdr:nvSpPr>
          <xdr:spPr bwMode="auto">
            <a:xfrm>
              <a:off x="2164" y="3631"/>
              <a:ext cx="570" cy="102"/>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lang="es-ES" sz="1100" b="1" i="0" u="none" strike="noStrike" kern="1200">
                  <a:solidFill>
                    <a:schemeClr val="bg1"/>
                  </a:solidFill>
                  <a:latin typeface="Arial" charset="0"/>
                  <a:ea typeface="+mn-ea"/>
                  <a:cs typeface="Lucida Sans Unicode" pitchFamily="34" charset="0"/>
                </a:rPr>
                <a:t>135,813,247  </a:t>
              </a:r>
              <a:r>
                <a:rPr kumimoji="0" lang="es-ES" sz="1000" b="1" i="0" u="none" strike="noStrike" cap="none" normalizeH="0" baseline="0">
                  <a:ln>
                    <a:noFill/>
                  </a:ln>
                  <a:solidFill>
                    <a:srgbClr val="FFFFFF"/>
                  </a:solidFill>
                  <a:effectLst/>
                  <a:latin typeface="Cambria" pitchFamily="18" charset="0"/>
                  <a:cs typeface="Lucida Sans Unicode" pitchFamily="34" charset="0"/>
                </a:rPr>
                <a:t>. </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215" name="Rectangle 77">
              <a:extLst>
                <a:ext uri="{FF2B5EF4-FFF2-40B4-BE49-F238E27FC236}">
                  <a16:creationId xmlns:a16="http://schemas.microsoft.com/office/drawing/2014/main" id="{00000000-0008-0000-0600-0000D7000000}"/>
                </a:ext>
              </a:extLst>
            </xdr:cNvPr>
            <xdr:cNvSpPr>
              <a:spLocks noChangeArrowheads="1"/>
            </xdr:cNvSpPr>
          </xdr:nvSpPr>
          <xdr:spPr bwMode="auto">
            <a:xfrm>
              <a:off x="772" y="3745"/>
              <a:ext cx="1074" cy="11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1200" b="1" i="0" u="none" strike="noStrike" cap="none" normalizeH="0" baseline="0">
                  <a:ln>
                    <a:noFill/>
                  </a:ln>
                  <a:solidFill>
                    <a:srgbClr val="000000"/>
                  </a:solidFill>
                  <a:effectLst/>
                  <a:latin typeface="Arial" pitchFamily="34" charset="0"/>
                  <a:cs typeface="Lucida Sans Unicode" pitchFamily="34" charset="0"/>
                </a:rPr>
                <a:t>Excedente Proyectado</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216" name="Rectangle 78">
              <a:extLst>
                <a:ext uri="{FF2B5EF4-FFF2-40B4-BE49-F238E27FC236}">
                  <a16:creationId xmlns:a16="http://schemas.microsoft.com/office/drawing/2014/main" id="{00000000-0008-0000-0600-0000D8000000}"/>
                </a:ext>
              </a:extLst>
            </xdr:cNvPr>
            <xdr:cNvSpPr>
              <a:spLocks noChangeArrowheads="1"/>
            </xdr:cNvSpPr>
          </xdr:nvSpPr>
          <xdr:spPr bwMode="auto">
            <a:xfrm>
              <a:off x="2146" y="3745"/>
              <a:ext cx="588" cy="108"/>
            </a:xfrm>
            <a:prstGeom prst="rect">
              <a:avLst/>
            </a:prstGeom>
            <a:noFill/>
            <a:ln w="9525">
              <a:noFill/>
              <a:miter lim="800000"/>
              <a:headEnd/>
              <a:tailEnd/>
            </a:ln>
          </xdr:spPr>
          <xdr:txBody>
            <a:bodyPr vert="horz" wrap="square" lIns="0" tIns="0" rIns="0" bIns="0" numCol="1" anchor="t" anchorCtr="0" compatLnSpc="1">
              <a:prstTxWarp prst="textNoShape">
                <a:avLst/>
              </a:prstTxWarp>
              <a:no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1000" b="1" i="0" u="none" strike="noStrike" cap="none" normalizeH="0" baseline="0">
                  <a:ln>
                    <a:noFill/>
                  </a:ln>
                  <a:solidFill>
                    <a:srgbClr val="FFFFFF"/>
                  </a:solidFill>
                  <a:effectLst/>
                  <a:latin typeface="Cambria" pitchFamily="18" charset="0"/>
                  <a:cs typeface="Lucida Sans Unicode" pitchFamily="34" charset="0"/>
                </a:rPr>
                <a:t> </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217" name="Rectangle 79">
              <a:extLst>
                <a:ext uri="{FF2B5EF4-FFF2-40B4-BE49-F238E27FC236}">
                  <a16:creationId xmlns:a16="http://schemas.microsoft.com/office/drawing/2014/main" id="{00000000-0008-0000-0600-0000D9000000}"/>
                </a:ext>
              </a:extLst>
            </xdr:cNvPr>
            <xdr:cNvSpPr>
              <a:spLocks noChangeArrowheads="1"/>
            </xdr:cNvSpPr>
          </xdr:nvSpPr>
          <xdr:spPr bwMode="auto">
            <a:xfrm>
              <a:off x="772" y="3991"/>
              <a:ext cx="510" cy="114"/>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1200" b="1" i="0" u="none" strike="noStrike" cap="none" normalizeH="0" baseline="0">
                  <a:ln>
                    <a:noFill/>
                  </a:ln>
                  <a:solidFill>
                    <a:srgbClr val="000000"/>
                  </a:solidFill>
                  <a:effectLst/>
                  <a:latin typeface="Arial" pitchFamily="34" charset="0"/>
                  <a:cs typeface="Lucida Sans Unicode" pitchFamily="34" charset="0"/>
                </a:rPr>
                <a:t>Diferencia</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218" name="Rectangle 80">
              <a:extLst>
                <a:ext uri="{FF2B5EF4-FFF2-40B4-BE49-F238E27FC236}">
                  <a16:creationId xmlns:a16="http://schemas.microsoft.com/office/drawing/2014/main" id="{00000000-0008-0000-0600-0000DA000000}"/>
                </a:ext>
              </a:extLst>
            </xdr:cNvPr>
            <xdr:cNvSpPr>
              <a:spLocks noChangeArrowheads="1"/>
            </xdr:cNvSpPr>
          </xdr:nvSpPr>
          <xdr:spPr bwMode="auto">
            <a:xfrm>
              <a:off x="2164" y="4009"/>
              <a:ext cx="570" cy="102"/>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lang="es-ES" sz="1100" b="0" i="0" u="none" strike="noStrike" kern="1200">
                  <a:solidFill>
                    <a:schemeClr val="bg1"/>
                  </a:solidFill>
                  <a:latin typeface="Arial" charset="0"/>
                  <a:ea typeface="+mn-ea"/>
                  <a:cs typeface="Lucida Sans Unicode" pitchFamily="34" charset="0"/>
                </a:rPr>
                <a:t>64,759,492.55  </a:t>
              </a:r>
              <a:r>
                <a:rPr kumimoji="0" lang="es-ES" sz="1000" b="1" i="0" u="none" strike="noStrike" cap="none" normalizeH="0" baseline="0">
                  <a:ln>
                    <a:noFill/>
                  </a:ln>
                  <a:solidFill>
                    <a:srgbClr val="FFFFFF"/>
                  </a:solidFill>
                  <a:effectLst/>
                  <a:latin typeface="Cambria" pitchFamily="18" charset="0"/>
                  <a:cs typeface="Lucida Sans Unicode" pitchFamily="34" charset="0"/>
                </a:rPr>
                <a:t> </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219" name="Rectangle 81">
              <a:extLst>
                <a:ext uri="{FF2B5EF4-FFF2-40B4-BE49-F238E27FC236}">
                  <a16:creationId xmlns:a16="http://schemas.microsoft.com/office/drawing/2014/main" id="{00000000-0008-0000-0600-0000DB000000}"/>
                </a:ext>
              </a:extLst>
            </xdr:cNvPr>
            <xdr:cNvSpPr>
              <a:spLocks noChangeArrowheads="1"/>
            </xdr:cNvSpPr>
          </xdr:nvSpPr>
          <xdr:spPr bwMode="auto">
            <a:xfrm>
              <a:off x="2800" y="4009"/>
              <a:ext cx="600" cy="96"/>
            </a:xfrm>
            <a:prstGeom prst="rect">
              <a:avLst/>
            </a:prstGeom>
            <a:noFill/>
            <a:ln w="9525">
              <a:noFill/>
              <a:miter lim="800000"/>
              <a:headEnd/>
              <a:tailEnd/>
            </a:ln>
          </xdr:spPr>
          <xdr:txBody>
            <a:bodyPr vert="horz" wrap="square" lIns="0" tIns="0" rIns="0" bIns="0" numCol="1" anchor="t" anchorCtr="0" compatLnSpc="1">
              <a:prstTxWarp prst="textNoShape">
                <a:avLst/>
              </a:prstTxWarp>
              <a:spAutoFit/>
            </a:bodyPr>
            <a:lstStyle>
              <a:defPPr>
                <a:defRPr lang="en-GB"/>
              </a:defPPr>
              <a:lvl1pPr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1pPr>
              <a:lvl2pPr marL="4572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2pPr>
              <a:lvl3pPr marL="9144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3pPr>
              <a:lvl4pPr marL="13716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4pPr>
              <a:lvl5pPr marL="1828800" algn="l" defTabSz="449263" rtl="0" fontAlgn="base">
                <a:spcBef>
                  <a:spcPct val="0"/>
                </a:spcBef>
                <a:spcAft>
                  <a:spcPct val="0"/>
                </a:spcAft>
                <a:buClr>
                  <a:srgbClr val="000000"/>
                </a:buClr>
                <a:buSzPct val="100000"/>
                <a:buFont typeface="Arial" charset="0"/>
                <a:defRPr kern="1200">
                  <a:solidFill>
                    <a:schemeClr val="bg1"/>
                  </a:solidFill>
                  <a:latin typeface="Arial" charset="0"/>
                  <a:ea typeface="+mn-ea"/>
                  <a:cs typeface="Lucida Sans Unicode" pitchFamily="34" charset="0"/>
                </a:defRPr>
              </a:lvl5pPr>
              <a:lvl6pPr marL="2286000" algn="l" defTabSz="914400" rtl="0" eaLnBrk="1" latinLnBrk="0" hangingPunct="1">
                <a:defRPr kern="1200">
                  <a:solidFill>
                    <a:schemeClr val="bg1"/>
                  </a:solidFill>
                  <a:latin typeface="Arial" charset="0"/>
                  <a:ea typeface="+mn-ea"/>
                  <a:cs typeface="Lucida Sans Unicode" pitchFamily="34" charset="0"/>
                </a:defRPr>
              </a:lvl6pPr>
              <a:lvl7pPr marL="2743200" algn="l" defTabSz="914400" rtl="0" eaLnBrk="1" latinLnBrk="0" hangingPunct="1">
                <a:defRPr kern="1200">
                  <a:solidFill>
                    <a:schemeClr val="bg1"/>
                  </a:solidFill>
                  <a:latin typeface="Arial" charset="0"/>
                  <a:ea typeface="+mn-ea"/>
                  <a:cs typeface="Lucida Sans Unicode" pitchFamily="34" charset="0"/>
                </a:defRPr>
              </a:lvl7pPr>
              <a:lvl8pPr marL="3200400" algn="l" defTabSz="914400" rtl="0" eaLnBrk="1" latinLnBrk="0" hangingPunct="1">
                <a:defRPr kern="1200">
                  <a:solidFill>
                    <a:schemeClr val="bg1"/>
                  </a:solidFill>
                  <a:latin typeface="Arial" charset="0"/>
                  <a:ea typeface="+mn-ea"/>
                  <a:cs typeface="Lucida Sans Unicode" pitchFamily="34" charset="0"/>
                </a:defRPr>
              </a:lvl8pPr>
              <a:lvl9pPr marL="3657600" algn="l" defTabSz="914400" rtl="0" eaLnBrk="1" latinLnBrk="0" hangingPunct="1">
                <a:defRPr kern="1200">
                  <a:solidFill>
                    <a:schemeClr val="bg1"/>
                  </a:solidFill>
                  <a:latin typeface="Arial" charset="0"/>
                  <a:ea typeface="+mn-ea"/>
                  <a:cs typeface="Lucida Sans Unicode" pitchFamily="34" charset="0"/>
                </a:defRPr>
              </a:lvl9pPr>
            </a:lstStyle>
            <a:p>
              <a:pPr marL="0" marR="0" lvl="0" indent="0" algn="l" defTabSz="449263" rtl="0" eaLnBrk="1" fontAlgn="base" latinLnBrk="0" hangingPunct="1">
                <a:lnSpc>
                  <a:spcPct val="100000"/>
                </a:lnSpc>
                <a:spcBef>
                  <a:spcPct val="0"/>
                </a:spcBef>
                <a:spcAft>
                  <a:spcPct val="0"/>
                </a:spcAft>
                <a:buClr>
                  <a:srgbClr val="000000"/>
                </a:buClr>
                <a:buSzPct val="100000"/>
                <a:buFont typeface="Arial" pitchFamily="34" charset="0"/>
                <a:buNone/>
                <a:tabLst/>
              </a:pPr>
              <a:r>
                <a:rPr kumimoji="0" lang="es-ES" sz="1000" b="1" i="0" u="none" strike="noStrike" cap="none" normalizeH="0" baseline="0">
                  <a:ln>
                    <a:noFill/>
                  </a:ln>
                  <a:solidFill>
                    <a:srgbClr val="FFFFFF"/>
                  </a:solidFill>
                  <a:effectLst/>
                  <a:latin typeface="Cambria" pitchFamily="18" charset="0"/>
                  <a:cs typeface="Lucida Sans Unicode" pitchFamily="34" charset="0"/>
                </a:rPr>
                <a:t>-57,786,289 </a:t>
              </a:r>
              <a:endParaRPr kumimoji="0" lang="es-ES" sz="1800" b="0" i="0" u="none" strike="noStrike" cap="none" normalizeH="0" baseline="0">
                <a:ln>
                  <a:noFill/>
                </a:ln>
                <a:solidFill>
                  <a:schemeClr val="bg1"/>
                </a:solidFill>
                <a:effectLst/>
                <a:latin typeface="Arial" pitchFamily="34" charset="0"/>
                <a:cs typeface="Lucida Sans Unicode" pitchFamily="34" charset="0"/>
              </a:endParaRPr>
            </a:p>
          </xdr:txBody>
        </xdr:sp>
        <xdr:sp macro="" textlink="">
          <xdr:nvSpPr>
            <xdr:cNvPr id="2351723" name="Rectangle 82">
              <a:extLst>
                <a:ext uri="{FF2B5EF4-FFF2-40B4-BE49-F238E27FC236}">
                  <a16:creationId xmlns:a16="http://schemas.microsoft.com/office/drawing/2014/main" id="{00000000-0008-0000-0600-00006BE22300}"/>
                </a:ext>
              </a:extLst>
            </xdr:cNvPr>
            <xdr:cNvSpPr>
              <a:spLocks noChangeArrowheads="1"/>
            </xdr:cNvSpPr>
          </xdr:nvSpPr>
          <xdr:spPr bwMode="auto">
            <a:xfrm>
              <a:off x="748" y="799"/>
              <a:ext cx="6" cy="1"/>
            </a:xfrm>
            <a:prstGeom prst="rect">
              <a:avLst/>
            </a:prstGeom>
            <a:solidFill>
              <a:srgbClr val="D0D7E5"/>
            </a:solidFill>
            <a:ln w="9525">
              <a:noFill/>
              <a:miter lim="800000"/>
              <a:headEnd/>
              <a:tailEnd/>
            </a:ln>
          </xdr:spPr>
        </xdr:sp>
        <xdr:sp macro="" textlink="">
          <xdr:nvSpPr>
            <xdr:cNvPr id="2351724" name="Rectangle 83">
              <a:extLst>
                <a:ext uri="{FF2B5EF4-FFF2-40B4-BE49-F238E27FC236}">
                  <a16:creationId xmlns:a16="http://schemas.microsoft.com/office/drawing/2014/main" id="{00000000-0008-0000-0600-00006CE22300}"/>
                </a:ext>
              </a:extLst>
            </xdr:cNvPr>
            <xdr:cNvSpPr>
              <a:spLocks noChangeArrowheads="1"/>
            </xdr:cNvSpPr>
          </xdr:nvSpPr>
          <xdr:spPr bwMode="auto">
            <a:xfrm>
              <a:off x="2092" y="799"/>
              <a:ext cx="6" cy="1"/>
            </a:xfrm>
            <a:prstGeom prst="rect">
              <a:avLst/>
            </a:prstGeom>
            <a:solidFill>
              <a:srgbClr val="D0D7E5"/>
            </a:solidFill>
            <a:ln w="9525">
              <a:noFill/>
              <a:miter lim="800000"/>
              <a:headEnd/>
              <a:tailEnd/>
            </a:ln>
          </xdr:spPr>
        </xdr:sp>
        <xdr:sp macro="" textlink="">
          <xdr:nvSpPr>
            <xdr:cNvPr id="2351725" name="Rectangle 84">
              <a:extLst>
                <a:ext uri="{FF2B5EF4-FFF2-40B4-BE49-F238E27FC236}">
                  <a16:creationId xmlns:a16="http://schemas.microsoft.com/office/drawing/2014/main" id="{00000000-0008-0000-0600-00006DE22300}"/>
                </a:ext>
              </a:extLst>
            </xdr:cNvPr>
            <xdr:cNvSpPr>
              <a:spLocks noChangeArrowheads="1"/>
            </xdr:cNvSpPr>
          </xdr:nvSpPr>
          <xdr:spPr bwMode="auto">
            <a:xfrm>
              <a:off x="2770" y="799"/>
              <a:ext cx="6" cy="1"/>
            </a:xfrm>
            <a:prstGeom prst="rect">
              <a:avLst/>
            </a:prstGeom>
            <a:solidFill>
              <a:srgbClr val="D0D7E5"/>
            </a:solidFill>
            <a:ln w="9525">
              <a:noFill/>
              <a:miter lim="800000"/>
              <a:headEnd/>
              <a:tailEnd/>
            </a:ln>
          </xdr:spPr>
        </xdr:sp>
        <xdr:sp macro="" textlink="">
          <xdr:nvSpPr>
            <xdr:cNvPr id="2351726" name="Rectangle 85">
              <a:extLst>
                <a:ext uri="{FF2B5EF4-FFF2-40B4-BE49-F238E27FC236}">
                  <a16:creationId xmlns:a16="http://schemas.microsoft.com/office/drawing/2014/main" id="{00000000-0008-0000-0600-00006EE22300}"/>
                </a:ext>
              </a:extLst>
            </xdr:cNvPr>
            <xdr:cNvSpPr>
              <a:spLocks noChangeArrowheads="1"/>
            </xdr:cNvSpPr>
          </xdr:nvSpPr>
          <xdr:spPr bwMode="auto">
            <a:xfrm>
              <a:off x="3430" y="799"/>
              <a:ext cx="6" cy="1"/>
            </a:xfrm>
            <a:prstGeom prst="rect">
              <a:avLst/>
            </a:prstGeom>
            <a:solidFill>
              <a:srgbClr val="D0D7E5"/>
            </a:solidFill>
            <a:ln w="9525">
              <a:noFill/>
              <a:miter lim="800000"/>
              <a:headEnd/>
              <a:tailEnd/>
            </a:ln>
          </xdr:spPr>
        </xdr:sp>
        <xdr:sp macro="" textlink="">
          <xdr:nvSpPr>
            <xdr:cNvPr id="2351727" name="Line 86">
              <a:extLst>
                <a:ext uri="{FF2B5EF4-FFF2-40B4-BE49-F238E27FC236}">
                  <a16:creationId xmlns:a16="http://schemas.microsoft.com/office/drawing/2014/main" id="{00000000-0008-0000-0600-00006FE22300}"/>
                </a:ext>
              </a:extLst>
            </xdr:cNvPr>
            <xdr:cNvSpPr>
              <a:spLocks noChangeShapeType="1"/>
            </xdr:cNvSpPr>
          </xdr:nvSpPr>
          <xdr:spPr bwMode="auto">
            <a:xfrm>
              <a:off x="754" y="799"/>
              <a:ext cx="4464" cy="1"/>
            </a:xfrm>
            <a:prstGeom prst="line">
              <a:avLst/>
            </a:prstGeom>
            <a:noFill/>
            <a:ln w="0">
              <a:solidFill>
                <a:srgbClr val="000000"/>
              </a:solidFill>
              <a:round/>
              <a:headEnd/>
              <a:tailEnd/>
            </a:ln>
          </xdr:spPr>
        </xdr:sp>
        <xdr:sp macro="" textlink="">
          <xdr:nvSpPr>
            <xdr:cNvPr id="2351728" name="Rectangle 87">
              <a:extLst>
                <a:ext uri="{FF2B5EF4-FFF2-40B4-BE49-F238E27FC236}">
                  <a16:creationId xmlns:a16="http://schemas.microsoft.com/office/drawing/2014/main" id="{00000000-0008-0000-0600-000070E22300}"/>
                </a:ext>
              </a:extLst>
            </xdr:cNvPr>
            <xdr:cNvSpPr>
              <a:spLocks noChangeArrowheads="1"/>
            </xdr:cNvSpPr>
          </xdr:nvSpPr>
          <xdr:spPr bwMode="auto">
            <a:xfrm>
              <a:off x="754" y="799"/>
              <a:ext cx="4464" cy="6"/>
            </a:xfrm>
            <a:prstGeom prst="rect">
              <a:avLst/>
            </a:prstGeom>
            <a:solidFill>
              <a:srgbClr val="000000"/>
            </a:solidFill>
            <a:ln w="9525">
              <a:noFill/>
              <a:miter lim="800000"/>
              <a:headEnd/>
              <a:tailEnd/>
            </a:ln>
          </xdr:spPr>
        </xdr:sp>
        <xdr:sp macro="" textlink="">
          <xdr:nvSpPr>
            <xdr:cNvPr id="2351729" name="Rectangle 88">
              <a:extLst>
                <a:ext uri="{FF2B5EF4-FFF2-40B4-BE49-F238E27FC236}">
                  <a16:creationId xmlns:a16="http://schemas.microsoft.com/office/drawing/2014/main" id="{00000000-0008-0000-0600-000071E22300}"/>
                </a:ext>
              </a:extLst>
            </xdr:cNvPr>
            <xdr:cNvSpPr>
              <a:spLocks noChangeArrowheads="1"/>
            </xdr:cNvSpPr>
          </xdr:nvSpPr>
          <xdr:spPr bwMode="auto">
            <a:xfrm>
              <a:off x="5212" y="799"/>
              <a:ext cx="6" cy="1"/>
            </a:xfrm>
            <a:prstGeom prst="rect">
              <a:avLst/>
            </a:prstGeom>
            <a:solidFill>
              <a:srgbClr val="D0D7E5"/>
            </a:solidFill>
            <a:ln w="9525">
              <a:noFill/>
              <a:miter lim="800000"/>
              <a:headEnd/>
              <a:tailEnd/>
            </a:ln>
          </xdr:spPr>
        </xdr:sp>
        <xdr:sp macro="" textlink="">
          <xdr:nvSpPr>
            <xdr:cNvPr id="2351730" name="Line 89">
              <a:extLst>
                <a:ext uri="{FF2B5EF4-FFF2-40B4-BE49-F238E27FC236}">
                  <a16:creationId xmlns:a16="http://schemas.microsoft.com/office/drawing/2014/main" id="{00000000-0008-0000-0600-000072E22300}"/>
                </a:ext>
              </a:extLst>
            </xdr:cNvPr>
            <xdr:cNvSpPr>
              <a:spLocks noChangeShapeType="1"/>
            </xdr:cNvSpPr>
          </xdr:nvSpPr>
          <xdr:spPr bwMode="auto">
            <a:xfrm>
              <a:off x="754" y="925"/>
              <a:ext cx="4464" cy="1"/>
            </a:xfrm>
            <a:prstGeom prst="line">
              <a:avLst/>
            </a:prstGeom>
            <a:noFill/>
            <a:ln w="0">
              <a:solidFill>
                <a:srgbClr val="000000"/>
              </a:solidFill>
              <a:round/>
              <a:headEnd/>
              <a:tailEnd/>
            </a:ln>
          </xdr:spPr>
        </xdr:sp>
        <xdr:sp macro="" textlink="">
          <xdr:nvSpPr>
            <xdr:cNvPr id="2351731" name="Rectangle 90">
              <a:extLst>
                <a:ext uri="{FF2B5EF4-FFF2-40B4-BE49-F238E27FC236}">
                  <a16:creationId xmlns:a16="http://schemas.microsoft.com/office/drawing/2014/main" id="{00000000-0008-0000-0600-000073E22300}"/>
                </a:ext>
              </a:extLst>
            </xdr:cNvPr>
            <xdr:cNvSpPr>
              <a:spLocks noChangeArrowheads="1"/>
            </xdr:cNvSpPr>
          </xdr:nvSpPr>
          <xdr:spPr bwMode="auto">
            <a:xfrm>
              <a:off x="754" y="925"/>
              <a:ext cx="4464" cy="6"/>
            </a:xfrm>
            <a:prstGeom prst="rect">
              <a:avLst/>
            </a:prstGeom>
            <a:solidFill>
              <a:srgbClr val="000000"/>
            </a:solidFill>
            <a:ln w="9525">
              <a:noFill/>
              <a:miter lim="800000"/>
              <a:headEnd/>
              <a:tailEnd/>
            </a:ln>
          </xdr:spPr>
        </xdr:sp>
        <xdr:sp macro="" textlink="">
          <xdr:nvSpPr>
            <xdr:cNvPr id="2351732" name="Line 91">
              <a:extLst>
                <a:ext uri="{FF2B5EF4-FFF2-40B4-BE49-F238E27FC236}">
                  <a16:creationId xmlns:a16="http://schemas.microsoft.com/office/drawing/2014/main" id="{00000000-0008-0000-0600-000074E22300}"/>
                </a:ext>
              </a:extLst>
            </xdr:cNvPr>
            <xdr:cNvSpPr>
              <a:spLocks noChangeShapeType="1"/>
            </xdr:cNvSpPr>
          </xdr:nvSpPr>
          <xdr:spPr bwMode="auto">
            <a:xfrm>
              <a:off x="2770" y="805"/>
              <a:ext cx="1" cy="252"/>
            </a:xfrm>
            <a:prstGeom prst="line">
              <a:avLst/>
            </a:prstGeom>
            <a:noFill/>
            <a:ln w="0">
              <a:solidFill>
                <a:srgbClr val="000000"/>
              </a:solidFill>
              <a:round/>
              <a:headEnd/>
              <a:tailEnd/>
            </a:ln>
          </xdr:spPr>
        </xdr:sp>
        <xdr:sp macro="" textlink="">
          <xdr:nvSpPr>
            <xdr:cNvPr id="2351733" name="Rectangle 92">
              <a:extLst>
                <a:ext uri="{FF2B5EF4-FFF2-40B4-BE49-F238E27FC236}">
                  <a16:creationId xmlns:a16="http://schemas.microsoft.com/office/drawing/2014/main" id="{00000000-0008-0000-0600-000075E22300}"/>
                </a:ext>
              </a:extLst>
            </xdr:cNvPr>
            <xdr:cNvSpPr>
              <a:spLocks noChangeArrowheads="1"/>
            </xdr:cNvSpPr>
          </xdr:nvSpPr>
          <xdr:spPr bwMode="auto">
            <a:xfrm>
              <a:off x="2770" y="805"/>
              <a:ext cx="6" cy="252"/>
            </a:xfrm>
            <a:prstGeom prst="rect">
              <a:avLst/>
            </a:prstGeom>
            <a:solidFill>
              <a:srgbClr val="000000"/>
            </a:solidFill>
            <a:ln w="9525">
              <a:noFill/>
              <a:miter lim="800000"/>
              <a:headEnd/>
              <a:tailEnd/>
            </a:ln>
          </xdr:spPr>
        </xdr:sp>
        <xdr:sp macro="" textlink="">
          <xdr:nvSpPr>
            <xdr:cNvPr id="2351734" name="Line 93">
              <a:extLst>
                <a:ext uri="{FF2B5EF4-FFF2-40B4-BE49-F238E27FC236}">
                  <a16:creationId xmlns:a16="http://schemas.microsoft.com/office/drawing/2014/main" id="{00000000-0008-0000-0600-000076E22300}"/>
                </a:ext>
              </a:extLst>
            </xdr:cNvPr>
            <xdr:cNvSpPr>
              <a:spLocks noChangeShapeType="1"/>
            </xdr:cNvSpPr>
          </xdr:nvSpPr>
          <xdr:spPr bwMode="auto">
            <a:xfrm>
              <a:off x="3430" y="805"/>
              <a:ext cx="1" cy="252"/>
            </a:xfrm>
            <a:prstGeom prst="line">
              <a:avLst/>
            </a:prstGeom>
            <a:noFill/>
            <a:ln w="0">
              <a:solidFill>
                <a:srgbClr val="000000"/>
              </a:solidFill>
              <a:round/>
              <a:headEnd/>
              <a:tailEnd/>
            </a:ln>
          </xdr:spPr>
        </xdr:sp>
        <xdr:sp macro="" textlink="">
          <xdr:nvSpPr>
            <xdr:cNvPr id="2351735" name="Rectangle 94">
              <a:extLst>
                <a:ext uri="{FF2B5EF4-FFF2-40B4-BE49-F238E27FC236}">
                  <a16:creationId xmlns:a16="http://schemas.microsoft.com/office/drawing/2014/main" id="{00000000-0008-0000-0600-000077E22300}"/>
                </a:ext>
              </a:extLst>
            </xdr:cNvPr>
            <xdr:cNvSpPr>
              <a:spLocks noChangeArrowheads="1"/>
            </xdr:cNvSpPr>
          </xdr:nvSpPr>
          <xdr:spPr bwMode="auto">
            <a:xfrm>
              <a:off x="3430" y="805"/>
              <a:ext cx="6" cy="252"/>
            </a:xfrm>
            <a:prstGeom prst="rect">
              <a:avLst/>
            </a:prstGeom>
            <a:solidFill>
              <a:srgbClr val="000000"/>
            </a:solidFill>
            <a:ln w="9525">
              <a:noFill/>
              <a:miter lim="800000"/>
              <a:headEnd/>
              <a:tailEnd/>
            </a:ln>
          </xdr:spPr>
        </xdr:sp>
        <xdr:sp macro="" textlink="">
          <xdr:nvSpPr>
            <xdr:cNvPr id="2351736" name="Line 95">
              <a:extLst>
                <a:ext uri="{FF2B5EF4-FFF2-40B4-BE49-F238E27FC236}">
                  <a16:creationId xmlns:a16="http://schemas.microsoft.com/office/drawing/2014/main" id="{00000000-0008-0000-0600-000078E22300}"/>
                </a:ext>
              </a:extLst>
            </xdr:cNvPr>
            <xdr:cNvSpPr>
              <a:spLocks noChangeShapeType="1"/>
            </xdr:cNvSpPr>
          </xdr:nvSpPr>
          <xdr:spPr bwMode="auto">
            <a:xfrm>
              <a:off x="754" y="1051"/>
              <a:ext cx="4464" cy="1"/>
            </a:xfrm>
            <a:prstGeom prst="line">
              <a:avLst/>
            </a:prstGeom>
            <a:noFill/>
            <a:ln w="0">
              <a:solidFill>
                <a:srgbClr val="000000"/>
              </a:solidFill>
              <a:round/>
              <a:headEnd/>
              <a:tailEnd/>
            </a:ln>
          </xdr:spPr>
        </xdr:sp>
        <xdr:sp macro="" textlink="">
          <xdr:nvSpPr>
            <xdr:cNvPr id="2351737" name="Rectangle 96">
              <a:extLst>
                <a:ext uri="{FF2B5EF4-FFF2-40B4-BE49-F238E27FC236}">
                  <a16:creationId xmlns:a16="http://schemas.microsoft.com/office/drawing/2014/main" id="{00000000-0008-0000-0600-000079E22300}"/>
                </a:ext>
              </a:extLst>
            </xdr:cNvPr>
            <xdr:cNvSpPr>
              <a:spLocks noChangeArrowheads="1"/>
            </xdr:cNvSpPr>
          </xdr:nvSpPr>
          <xdr:spPr bwMode="auto">
            <a:xfrm>
              <a:off x="754" y="1051"/>
              <a:ext cx="4464" cy="6"/>
            </a:xfrm>
            <a:prstGeom prst="rect">
              <a:avLst/>
            </a:prstGeom>
            <a:solidFill>
              <a:srgbClr val="000000"/>
            </a:solidFill>
            <a:ln w="9525">
              <a:noFill/>
              <a:miter lim="800000"/>
              <a:headEnd/>
              <a:tailEnd/>
            </a:ln>
          </xdr:spPr>
        </xdr:sp>
        <xdr:sp macro="" textlink="">
          <xdr:nvSpPr>
            <xdr:cNvPr id="2351738" name="Line 97">
              <a:extLst>
                <a:ext uri="{FF2B5EF4-FFF2-40B4-BE49-F238E27FC236}">
                  <a16:creationId xmlns:a16="http://schemas.microsoft.com/office/drawing/2014/main" id="{00000000-0008-0000-0600-00007AE22300}"/>
                </a:ext>
              </a:extLst>
            </xdr:cNvPr>
            <xdr:cNvSpPr>
              <a:spLocks noChangeShapeType="1"/>
            </xdr:cNvSpPr>
          </xdr:nvSpPr>
          <xdr:spPr bwMode="auto">
            <a:xfrm>
              <a:off x="5212" y="805"/>
              <a:ext cx="1" cy="252"/>
            </a:xfrm>
            <a:prstGeom prst="line">
              <a:avLst/>
            </a:prstGeom>
            <a:noFill/>
            <a:ln w="0">
              <a:solidFill>
                <a:srgbClr val="000000"/>
              </a:solidFill>
              <a:round/>
              <a:headEnd/>
              <a:tailEnd/>
            </a:ln>
          </xdr:spPr>
        </xdr:sp>
        <xdr:sp macro="" textlink="">
          <xdr:nvSpPr>
            <xdr:cNvPr id="2351739" name="Rectangle 98">
              <a:extLst>
                <a:ext uri="{FF2B5EF4-FFF2-40B4-BE49-F238E27FC236}">
                  <a16:creationId xmlns:a16="http://schemas.microsoft.com/office/drawing/2014/main" id="{00000000-0008-0000-0600-00007BE22300}"/>
                </a:ext>
              </a:extLst>
            </xdr:cNvPr>
            <xdr:cNvSpPr>
              <a:spLocks noChangeArrowheads="1"/>
            </xdr:cNvSpPr>
          </xdr:nvSpPr>
          <xdr:spPr bwMode="auto">
            <a:xfrm>
              <a:off x="5212" y="805"/>
              <a:ext cx="6" cy="252"/>
            </a:xfrm>
            <a:prstGeom prst="rect">
              <a:avLst/>
            </a:prstGeom>
            <a:solidFill>
              <a:srgbClr val="000000"/>
            </a:solidFill>
            <a:ln w="9525">
              <a:noFill/>
              <a:miter lim="800000"/>
              <a:headEnd/>
              <a:tailEnd/>
            </a:ln>
          </xdr:spPr>
        </xdr:sp>
        <xdr:sp macro="" textlink="">
          <xdr:nvSpPr>
            <xdr:cNvPr id="2351740" name="Line 99">
              <a:extLst>
                <a:ext uri="{FF2B5EF4-FFF2-40B4-BE49-F238E27FC236}">
                  <a16:creationId xmlns:a16="http://schemas.microsoft.com/office/drawing/2014/main" id="{00000000-0008-0000-0600-00007CE22300}"/>
                </a:ext>
              </a:extLst>
            </xdr:cNvPr>
            <xdr:cNvSpPr>
              <a:spLocks noChangeShapeType="1"/>
            </xdr:cNvSpPr>
          </xdr:nvSpPr>
          <xdr:spPr bwMode="auto">
            <a:xfrm>
              <a:off x="2770" y="1057"/>
              <a:ext cx="1" cy="120"/>
            </a:xfrm>
            <a:prstGeom prst="line">
              <a:avLst/>
            </a:prstGeom>
            <a:noFill/>
            <a:ln w="0">
              <a:solidFill>
                <a:srgbClr val="D0D7E5"/>
              </a:solidFill>
              <a:round/>
              <a:headEnd/>
              <a:tailEnd/>
            </a:ln>
          </xdr:spPr>
        </xdr:sp>
        <xdr:sp macro="" textlink="">
          <xdr:nvSpPr>
            <xdr:cNvPr id="2351741" name="Rectangle 100">
              <a:extLst>
                <a:ext uri="{FF2B5EF4-FFF2-40B4-BE49-F238E27FC236}">
                  <a16:creationId xmlns:a16="http://schemas.microsoft.com/office/drawing/2014/main" id="{00000000-0008-0000-0600-00007DE22300}"/>
                </a:ext>
              </a:extLst>
            </xdr:cNvPr>
            <xdr:cNvSpPr>
              <a:spLocks noChangeArrowheads="1"/>
            </xdr:cNvSpPr>
          </xdr:nvSpPr>
          <xdr:spPr bwMode="auto">
            <a:xfrm>
              <a:off x="2770" y="1057"/>
              <a:ext cx="6" cy="120"/>
            </a:xfrm>
            <a:prstGeom prst="rect">
              <a:avLst/>
            </a:prstGeom>
            <a:solidFill>
              <a:srgbClr val="D0D7E5"/>
            </a:solidFill>
            <a:ln w="9525">
              <a:noFill/>
              <a:miter lim="800000"/>
              <a:headEnd/>
              <a:tailEnd/>
            </a:ln>
          </xdr:spPr>
        </xdr:sp>
        <xdr:sp macro="" textlink="">
          <xdr:nvSpPr>
            <xdr:cNvPr id="2351742" name="Line 101">
              <a:extLst>
                <a:ext uri="{FF2B5EF4-FFF2-40B4-BE49-F238E27FC236}">
                  <a16:creationId xmlns:a16="http://schemas.microsoft.com/office/drawing/2014/main" id="{00000000-0008-0000-0600-00007EE22300}"/>
                </a:ext>
              </a:extLst>
            </xdr:cNvPr>
            <xdr:cNvSpPr>
              <a:spLocks noChangeShapeType="1"/>
            </xdr:cNvSpPr>
          </xdr:nvSpPr>
          <xdr:spPr bwMode="auto">
            <a:xfrm>
              <a:off x="3430" y="1057"/>
              <a:ext cx="1" cy="120"/>
            </a:xfrm>
            <a:prstGeom prst="line">
              <a:avLst/>
            </a:prstGeom>
            <a:noFill/>
            <a:ln w="0">
              <a:solidFill>
                <a:srgbClr val="D0D7E5"/>
              </a:solidFill>
              <a:round/>
              <a:headEnd/>
              <a:tailEnd/>
            </a:ln>
          </xdr:spPr>
        </xdr:sp>
        <xdr:sp macro="" textlink="">
          <xdr:nvSpPr>
            <xdr:cNvPr id="2351743" name="Rectangle 102">
              <a:extLst>
                <a:ext uri="{FF2B5EF4-FFF2-40B4-BE49-F238E27FC236}">
                  <a16:creationId xmlns:a16="http://schemas.microsoft.com/office/drawing/2014/main" id="{00000000-0008-0000-0600-00007FE22300}"/>
                </a:ext>
              </a:extLst>
            </xdr:cNvPr>
            <xdr:cNvSpPr>
              <a:spLocks noChangeArrowheads="1"/>
            </xdr:cNvSpPr>
          </xdr:nvSpPr>
          <xdr:spPr bwMode="auto">
            <a:xfrm>
              <a:off x="3430" y="1057"/>
              <a:ext cx="6" cy="120"/>
            </a:xfrm>
            <a:prstGeom prst="rect">
              <a:avLst/>
            </a:prstGeom>
            <a:solidFill>
              <a:srgbClr val="D0D7E5"/>
            </a:solidFill>
            <a:ln w="9525">
              <a:noFill/>
              <a:miter lim="800000"/>
              <a:headEnd/>
              <a:tailEnd/>
            </a:ln>
          </xdr:spPr>
        </xdr:sp>
        <xdr:sp macro="" textlink="">
          <xdr:nvSpPr>
            <xdr:cNvPr id="2351744" name="Line 103">
              <a:extLst>
                <a:ext uri="{FF2B5EF4-FFF2-40B4-BE49-F238E27FC236}">
                  <a16:creationId xmlns:a16="http://schemas.microsoft.com/office/drawing/2014/main" id="{00000000-0008-0000-0600-000080E22300}"/>
                </a:ext>
              </a:extLst>
            </xdr:cNvPr>
            <xdr:cNvSpPr>
              <a:spLocks noChangeShapeType="1"/>
            </xdr:cNvSpPr>
          </xdr:nvSpPr>
          <xdr:spPr bwMode="auto">
            <a:xfrm>
              <a:off x="754" y="1177"/>
              <a:ext cx="4464" cy="1"/>
            </a:xfrm>
            <a:prstGeom prst="line">
              <a:avLst/>
            </a:prstGeom>
            <a:noFill/>
            <a:ln w="0">
              <a:solidFill>
                <a:srgbClr val="000000"/>
              </a:solidFill>
              <a:round/>
              <a:headEnd/>
              <a:tailEnd/>
            </a:ln>
          </xdr:spPr>
        </xdr:sp>
        <xdr:sp macro="" textlink="">
          <xdr:nvSpPr>
            <xdr:cNvPr id="2351745" name="Rectangle 104">
              <a:extLst>
                <a:ext uri="{FF2B5EF4-FFF2-40B4-BE49-F238E27FC236}">
                  <a16:creationId xmlns:a16="http://schemas.microsoft.com/office/drawing/2014/main" id="{00000000-0008-0000-0600-000081E22300}"/>
                </a:ext>
              </a:extLst>
            </xdr:cNvPr>
            <xdr:cNvSpPr>
              <a:spLocks noChangeArrowheads="1"/>
            </xdr:cNvSpPr>
          </xdr:nvSpPr>
          <xdr:spPr bwMode="auto">
            <a:xfrm>
              <a:off x="754" y="1177"/>
              <a:ext cx="4464" cy="6"/>
            </a:xfrm>
            <a:prstGeom prst="rect">
              <a:avLst/>
            </a:prstGeom>
            <a:solidFill>
              <a:srgbClr val="000000"/>
            </a:solidFill>
            <a:ln w="9525">
              <a:noFill/>
              <a:miter lim="800000"/>
              <a:headEnd/>
              <a:tailEnd/>
            </a:ln>
          </xdr:spPr>
        </xdr:sp>
        <xdr:sp macro="" textlink="">
          <xdr:nvSpPr>
            <xdr:cNvPr id="2351746" name="Line 105">
              <a:extLst>
                <a:ext uri="{FF2B5EF4-FFF2-40B4-BE49-F238E27FC236}">
                  <a16:creationId xmlns:a16="http://schemas.microsoft.com/office/drawing/2014/main" id="{00000000-0008-0000-0600-000082E22300}"/>
                </a:ext>
              </a:extLst>
            </xdr:cNvPr>
            <xdr:cNvSpPr>
              <a:spLocks noChangeShapeType="1"/>
            </xdr:cNvSpPr>
          </xdr:nvSpPr>
          <xdr:spPr bwMode="auto">
            <a:xfrm>
              <a:off x="5212" y="1057"/>
              <a:ext cx="1" cy="120"/>
            </a:xfrm>
            <a:prstGeom prst="line">
              <a:avLst/>
            </a:prstGeom>
            <a:noFill/>
            <a:ln w="0">
              <a:solidFill>
                <a:srgbClr val="D0D7E5"/>
              </a:solidFill>
              <a:round/>
              <a:headEnd/>
              <a:tailEnd/>
            </a:ln>
          </xdr:spPr>
        </xdr:sp>
        <xdr:sp macro="" textlink="">
          <xdr:nvSpPr>
            <xdr:cNvPr id="2351747" name="Rectangle 106">
              <a:extLst>
                <a:ext uri="{FF2B5EF4-FFF2-40B4-BE49-F238E27FC236}">
                  <a16:creationId xmlns:a16="http://schemas.microsoft.com/office/drawing/2014/main" id="{00000000-0008-0000-0600-000083E22300}"/>
                </a:ext>
              </a:extLst>
            </xdr:cNvPr>
            <xdr:cNvSpPr>
              <a:spLocks noChangeArrowheads="1"/>
            </xdr:cNvSpPr>
          </xdr:nvSpPr>
          <xdr:spPr bwMode="auto">
            <a:xfrm>
              <a:off x="5212" y="1057"/>
              <a:ext cx="6" cy="120"/>
            </a:xfrm>
            <a:prstGeom prst="rect">
              <a:avLst/>
            </a:prstGeom>
            <a:solidFill>
              <a:srgbClr val="D0D7E5"/>
            </a:solidFill>
            <a:ln w="9525">
              <a:noFill/>
              <a:miter lim="800000"/>
              <a:headEnd/>
              <a:tailEnd/>
            </a:ln>
          </xdr:spPr>
        </xdr:sp>
        <xdr:sp macro="" textlink="">
          <xdr:nvSpPr>
            <xdr:cNvPr id="2351748" name="Line 107">
              <a:extLst>
                <a:ext uri="{FF2B5EF4-FFF2-40B4-BE49-F238E27FC236}">
                  <a16:creationId xmlns:a16="http://schemas.microsoft.com/office/drawing/2014/main" id="{00000000-0008-0000-0600-000084E22300}"/>
                </a:ext>
              </a:extLst>
            </xdr:cNvPr>
            <xdr:cNvSpPr>
              <a:spLocks noChangeShapeType="1"/>
            </xdr:cNvSpPr>
          </xdr:nvSpPr>
          <xdr:spPr bwMode="auto">
            <a:xfrm>
              <a:off x="748" y="799"/>
              <a:ext cx="1" cy="504"/>
            </a:xfrm>
            <a:prstGeom prst="line">
              <a:avLst/>
            </a:prstGeom>
            <a:noFill/>
            <a:ln w="0">
              <a:solidFill>
                <a:srgbClr val="000000"/>
              </a:solidFill>
              <a:round/>
              <a:headEnd/>
              <a:tailEnd/>
            </a:ln>
          </xdr:spPr>
        </xdr:sp>
        <xdr:sp macro="" textlink="">
          <xdr:nvSpPr>
            <xdr:cNvPr id="2351749" name="Rectangle 108">
              <a:extLst>
                <a:ext uri="{FF2B5EF4-FFF2-40B4-BE49-F238E27FC236}">
                  <a16:creationId xmlns:a16="http://schemas.microsoft.com/office/drawing/2014/main" id="{00000000-0008-0000-0600-000085E22300}"/>
                </a:ext>
              </a:extLst>
            </xdr:cNvPr>
            <xdr:cNvSpPr>
              <a:spLocks noChangeArrowheads="1"/>
            </xdr:cNvSpPr>
          </xdr:nvSpPr>
          <xdr:spPr bwMode="auto">
            <a:xfrm>
              <a:off x="748" y="799"/>
              <a:ext cx="6" cy="504"/>
            </a:xfrm>
            <a:prstGeom prst="rect">
              <a:avLst/>
            </a:prstGeom>
            <a:solidFill>
              <a:srgbClr val="000000"/>
            </a:solidFill>
            <a:ln w="9525">
              <a:noFill/>
              <a:miter lim="800000"/>
              <a:headEnd/>
              <a:tailEnd/>
            </a:ln>
          </xdr:spPr>
        </xdr:sp>
        <xdr:sp macro="" textlink="">
          <xdr:nvSpPr>
            <xdr:cNvPr id="2351750" name="Line 109">
              <a:extLst>
                <a:ext uri="{FF2B5EF4-FFF2-40B4-BE49-F238E27FC236}">
                  <a16:creationId xmlns:a16="http://schemas.microsoft.com/office/drawing/2014/main" id="{00000000-0008-0000-0600-000086E22300}"/>
                </a:ext>
              </a:extLst>
            </xdr:cNvPr>
            <xdr:cNvSpPr>
              <a:spLocks noChangeShapeType="1"/>
            </xdr:cNvSpPr>
          </xdr:nvSpPr>
          <xdr:spPr bwMode="auto">
            <a:xfrm>
              <a:off x="2092" y="805"/>
              <a:ext cx="1" cy="498"/>
            </a:xfrm>
            <a:prstGeom prst="line">
              <a:avLst/>
            </a:prstGeom>
            <a:noFill/>
            <a:ln w="0">
              <a:solidFill>
                <a:srgbClr val="000000"/>
              </a:solidFill>
              <a:round/>
              <a:headEnd/>
              <a:tailEnd/>
            </a:ln>
          </xdr:spPr>
        </xdr:sp>
        <xdr:sp macro="" textlink="">
          <xdr:nvSpPr>
            <xdr:cNvPr id="2351751" name="Rectangle 110">
              <a:extLst>
                <a:ext uri="{FF2B5EF4-FFF2-40B4-BE49-F238E27FC236}">
                  <a16:creationId xmlns:a16="http://schemas.microsoft.com/office/drawing/2014/main" id="{00000000-0008-0000-0600-000087E22300}"/>
                </a:ext>
              </a:extLst>
            </xdr:cNvPr>
            <xdr:cNvSpPr>
              <a:spLocks noChangeArrowheads="1"/>
            </xdr:cNvSpPr>
          </xdr:nvSpPr>
          <xdr:spPr bwMode="auto">
            <a:xfrm>
              <a:off x="2092" y="805"/>
              <a:ext cx="6" cy="498"/>
            </a:xfrm>
            <a:prstGeom prst="rect">
              <a:avLst/>
            </a:prstGeom>
            <a:solidFill>
              <a:srgbClr val="000000"/>
            </a:solidFill>
            <a:ln w="9525">
              <a:noFill/>
              <a:miter lim="800000"/>
              <a:headEnd/>
              <a:tailEnd/>
            </a:ln>
          </xdr:spPr>
        </xdr:sp>
        <xdr:sp macro="" textlink="">
          <xdr:nvSpPr>
            <xdr:cNvPr id="2351752" name="Line 111">
              <a:extLst>
                <a:ext uri="{FF2B5EF4-FFF2-40B4-BE49-F238E27FC236}">
                  <a16:creationId xmlns:a16="http://schemas.microsoft.com/office/drawing/2014/main" id="{00000000-0008-0000-0600-000088E22300}"/>
                </a:ext>
              </a:extLst>
            </xdr:cNvPr>
            <xdr:cNvSpPr>
              <a:spLocks noChangeShapeType="1"/>
            </xdr:cNvSpPr>
          </xdr:nvSpPr>
          <xdr:spPr bwMode="auto">
            <a:xfrm>
              <a:off x="2770" y="1183"/>
              <a:ext cx="1" cy="120"/>
            </a:xfrm>
            <a:prstGeom prst="line">
              <a:avLst/>
            </a:prstGeom>
            <a:noFill/>
            <a:ln w="0">
              <a:solidFill>
                <a:srgbClr val="000000"/>
              </a:solidFill>
              <a:round/>
              <a:headEnd/>
              <a:tailEnd/>
            </a:ln>
          </xdr:spPr>
        </xdr:sp>
        <xdr:sp macro="" textlink="">
          <xdr:nvSpPr>
            <xdr:cNvPr id="2351753" name="Rectangle 112">
              <a:extLst>
                <a:ext uri="{FF2B5EF4-FFF2-40B4-BE49-F238E27FC236}">
                  <a16:creationId xmlns:a16="http://schemas.microsoft.com/office/drawing/2014/main" id="{00000000-0008-0000-0600-000089E22300}"/>
                </a:ext>
              </a:extLst>
            </xdr:cNvPr>
            <xdr:cNvSpPr>
              <a:spLocks noChangeArrowheads="1"/>
            </xdr:cNvSpPr>
          </xdr:nvSpPr>
          <xdr:spPr bwMode="auto">
            <a:xfrm>
              <a:off x="2770" y="1183"/>
              <a:ext cx="6" cy="120"/>
            </a:xfrm>
            <a:prstGeom prst="rect">
              <a:avLst/>
            </a:prstGeom>
            <a:solidFill>
              <a:srgbClr val="000000"/>
            </a:solidFill>
            <a:ln w="9525">
              <a:noFill/>
              <a:miter lim="800000"/>
              <a:headEnd/>
              <a:tailEnd/>
            </a:ln>
          </xdr:spPr>
        </xdr:sp>
        <xdr:sp macro="" textlink="">
          <xdr:nvSpPr>
            <xdr:cNvPr id="2351754" name="Line 113">
              <a:extLst>
                <a:ext uri="{FF2B5EF4-FFF2-40B4-BE49-F238E27FC236}">
                  <a16:creationId xmlns:a16="http://schemas.microsoft.com/office/drawing/2014/main" id="{00000000-0008-0000-0600-00008AE22300}"/>
                </a:ext>
              </a:extLst>
            </xdr:cNvPr>
            <xdr:cNvSpPr>
              <a:spLocks noChangeShapeType="1"/>
            </xdr:cNvSpPr>
          </xdr:nvSpPr>
          <xdr:spPr bwMode="auto">
            <a:xfrm>
              <a:off x="3430" y="1183"/>
              <a:ext cx="1" cy="120"/>
            </a:xfrm>
            <a:prstGeom prst="line">
              <a:avLst/>
            </a:prstGeom>
            <a:noFill/>
            <a:ln w="0">
              <a:solidFill>
                <a:srgbClr val="000000"/>
              </a:solidFill>
              <a:round/>
              <a:headEnd/>
              <a:tailEnd/>
            </a:ln>
          </xdr:spPr>
        </xdr:sp>
        <xdr:sp macro="" textlink="">
          <xdr:nvSpPr>
            <xdr:cNvPr id="2351755" name="Rectangle 114">
              <a:extLst>
                <a:ext uri="{FF2B5EF4-FFF2-40B4-BE49-F238E27FC236}">
                  <a16:creationId xmlns:a16="http://schemas.microsoft.com/office/drawing/2014/main" id="{00000000-0008-0000-0600-00008BE22300}"/>
                </a:ext>
              </a:extLst>
            </xdr:cNvPr>
            <xdr:cNvSpPr>
              <a:spLocks noChangeArrowheads="1"/>
            </xdr:cNvSpPr>
          </xdr:nvSpPr>
          <xdr:spPr bwMode="auto">
            <a:xfrm>
              <a:off x="3430" y="1183"/>
              <a:ext cx="6" cy="120"/>
            </a:xfrm>
            <a:prstGeom prst="rect">
              <a:avLst/>
            </a:prstGeom>
            <a:solidFill>
              <a:srgbClr val="000000"/>
            </a:solidFill>
            <a:ln w="9525">
              <a:noFill/>
              <a:miter lim="800000"/>
              <a:headEnd/>
              <a:tailEnd/>
            </a:ln>
          </xdr:spPr>
        </xdr:sp>
        <xdr:sp macro="" textlink="">
          <xdr:nvSpPr>
            <xdr:cNvPr id="2351756" name="Line 115">
              <a:extLst>
                <a:ext uri="{FF2B5EF4-FFF2-40B4-BE49-F238E27FC236}">
                  <a16:creationId xmlns:a16="http://schemas.microsoft.com/office/drawing/2014/main" id="{00000000-0008-0000-0600-00008CE22300}"/>
                </a:ext>
              </a:extLst>
            </xdr:cNvPr>
            <xdr:cNvSpPr>
              <a:spLocks noChangeShapeType="1"/>
            </xdr:cNvSpPr>
          </xdr:nvSpPr>
          <xdr:spPr bwMode="auto">
            <a:xfrm>
              <a:off x="754" y="1297"/>
              <a:ext cx="4464" cy="1"/>
            </a:xfrm>
            <a:prstGeom prst="line">
              <a:avLst/>
            </a:prstGeom>
            <a:noFill/>
            <a:ln w="0">
              <a:solidFill>
                <a:srgbClr val="000000"/>
              </a:solidFill>
              <a:round/>
              <a:headEnd/>
              <a:tailEnd/>
            </a:ln>
          </xdr:spPr>
        </xdr:sp>
        <xdr:sp macro="" textlink="">
          <xdr:nvSpPr>
            <xdr:cNvPr id="2351757" name="Rectangle 116">
              <a:extLst>
                <a:ext uri="{FF2B5EF4-FFF2-40B4-BE49-F238E27FC236}">
                  <a16:creationId xmlns:a16="http://schemas.microsoft.com/office/drawing/2014/main" id="{00000000-0008-0000-0600-00008DE22300}"/>
                </a:ext>
              </a:extLst>
            </xdr:cNvPr>
            <xdr:cNvSpPr>
              <a:spLocks noChangeArrowheads="1"/>
            </xdr:cNvSpPr>
          </xdr:nvSpPr>
          <xdr:spPr bwMode="auto">
            <a:xfrm>
              <a:off x="754" y="1297"/>
              <a:ext cx="4464" cy="6"/>
            </a:xfrm>
            <a:prstGeom prst="rect">
              <a:avLst/>
            </a:prstGeom>
            <a:solidFill>
              <a:srgbClr val="000000"/>
            </a:solidFill>
            <a:ln w="9525">
              <a:noFill/>
              <a:miter lim="800000"/>
              <a:headEnd/>
              <a:tailEnd/>
            </a:ln>
          </xdr:spPr>
        </xdr:sp>
        <xdr:sp macro="" textlink="">
          <xdr:nvSpPr>
            <xdr:cNvPr id="2351758" name="Line 117">
              <a:extLst>
                <a:ext uri="{FF2B5EF4-FFF2-40B4-BE49-F238E27FC236}">
                  <a16:creationId xmlns:a16="http://schemas.microsoft.com/office/drawing/2014/main" id="{00000000-0008-0000-0600-00008EE22300}"/>
                </a:ext>
              </a:extLst>
            </xdr:cNvPr>
            <xdr:cNvSpPr>
              <a:spLocks noChangeShapeType="1"/>
            </xdr:cNvSpPr>
          </xdr:nvSpPr>
          <xdr:spPr bwMode="auto">
            <a:xfrm>
              <a:off x="5212" y="1183"/>
              <a:ext cx="1" cy="120"/>
            </a:xfrm>
            <a:prstGeom prst="line">
              <a:avLst/>
            </a:prstGeom>
            <a:noFill/>
            <a:ln w="0">
              <a:solidFill>
                <a:srgbClr val="000000"/>
              </a:solidFill>
              <a:round/>
              <a:headEnd/>
              <a:tailEnd/>
            </a:ln>
          </xdr:spPr>
        </xdr:sp>
        <xdr:sp macro="" textlink="">
          <xdr:nvSpPr>
            <xdr:cNvPr id="2351759" name="Rectangle 118">
              <a:extLst>
                <a:ext uri="{FF2B5EF4-FFF2-40B4-BE49-F238E27FC236}">
                  <a16:creationId xmlns:a16="http://schemas.microsoft.com/office/drawing/2014/main" id="{00000000-0008-0000-0600-00008FE22300}"/>
                </a:ext>
              </a:extLst>
            </xdr:cNvPr>
            <xdr:cNvSpPr>
              <a:spLocks noChangeArrowheads="1"/>
            </xdr:cNvSpPr>
          </xdr:nvSpPr>
          <xdr:spPr bwMode="auto">
            <a:xfrm>
              <a:off x="5212" y="1183"/>
              <a:ext cx="6" cy="120"/>
            </a:xfrm>
            <a:prstGeom prst="rect">
              <a:avLst/>
            </a:prstGeom>
            <a:solidFill>
              <a:srgbClr val="000000"/>
            </a:solidFill>
            <a:ln w="9525">
              <a:noFill/>
              <a:miter lim="800000"/>
              <a:headEnd/>
              <a:tailEnd/>
            </a:ln>
          </xdr:spPr>
        </xdr:sp>
        <xdr:sp macro="" textlink="">
          <xdr:nvSpPr>
            <xdr:cNvPr id="2351760" name="Line 119">
              <a:extLst>
                <a:ext uri="{FF2B5EF4-FFF2-40B4-BE49-F238E27FC236}">
                  <a16:creationId xmlns:a16="http://schemas.microsoft.com/office/drawing/2014/main" id="{00000000-0008-0000-0600-000090E22300}"/>
                </a:ext>
              </a:extLst>
            </xdr:cNvPr>
            <xdr:cNvSpPr>
              <a:spLocks noChangeShapeType="1"/>
            </xdr:cNvSpPr>
          </xdr:nvSpPr>
          <xdr:spPr bwMode="auto">
            <a:xfrm>
              <a:off x="748" y="1303"/>
              <a:ext cx="1" cy="114"/>
            </a:xfrm>
            <a:prstGeom prst="line">
              <a:avLst/>
            </a:prstGeom>
            <a:noFill/>
            <a:ln w="0">
              <a:solidFill>
                <a:srgbClr val="D0D7E5"/>
              </a:solidFill>
              <a:round/>
              <a:headEnd/>
              <a:tailEnd/>
            </a:ln>
          </xdr:spPr>
        </xdr:sp>
        <xdr:sp macro="" textlink="">
          <xdr:nvSpPr>
            <xdr:cNvPr id="2351761" name="Rectangle 120">
              <a:extLst>
                <a:ext uri="{FF2B5EF4-FFF2-40B4-BE49-F238E27FC236}">
                  <a16:creationId xmlns:a16="http://schemas.microsoft.com/office/drawing/2014/main" id="{00000000-0008-0000-0600-000091E22300}"/>
                </a:ext>
              </a:extLst>
            </xdr:cNvPr>
            <xdr:cNvSpPr>
              <a:spLocks noChangeArrowheads="1"/>
            </xdr:cNvSpPr>
          </xdr:nvSpPr>
          <xdr:spPr bwMode="auto">
            <a:xfrm>
              <a:off x="748" y="1303"/>
              <a:ext cx="6" cy="114"/>
            </a:xfrm>
            <a:prstGeom prst="rect">
              <a:avLst/>
            </a:prstGeom>
            <a:solidFill>
              <a:srgbClr val="D0D7E5"/>
            </a:solidFill>
            <a:ln w="9525">
              <a:noFill/>
              <a:miter lim="800000"/>
              <a:headEnd/>
              <a:tailEnd/>
            </a:ln>
          </xdr:spPr>
        </xdr:sp>
        <xdr:sp macro="" textlink="">
          <xdr:nvSpPr>
            <xdr:cNvPr id="2351762" name="Line 121">
              <a:extLst>
                <a:ext uri="{FF2B5EF4-FFF2-40B4-BE49-F238E27FC236}">
                  <a16:creationId xmlns:a16="http://schemas.microsoft.com/office/drawing/2014/main" id="{00000000-0008-0000-0600-000092E22300}"/>
                </a:ext>
              </a:extLst>
            </xdr:cNvPr>
            <xdr:cNvSpPr>
              <a:spLocks noChangeShapeType="1"/>
            </xdr:cNvSpPr>
          </xdr:nvSpPr>
          <xdr:spPr bwMode="auto">
            <a:xfrm>
              <a:off x="754" y="1417"/>
              <a:ext cx="1344" cy="1"/>
            </a:xfrm>
            <a:prstGeom prst="line">
              <a:avLst/>
            </a:prstGeom>
            <a:noFill/>
            <a:ln w="0">
              <a:solidFill>
                <a:srgbClr val="000000"/>
              </a:solidFill>
              <a:round/>
              <a:headEnd/>
              <a:tailEnd/>
            </a:ln>
          </xdr:spPr>
        </xdr:sp>
        <xdr:sp macro="" textlink="">
          <xdr:nvSpPr>
            <xdr:cNvPr id="2351763" name="Rectangle 122">
              <a:extLst>
                <a:ext uri="{FF2B5EF4-FFF2-40B4-BE49-F238E27FC236}">
                  <a16:creationId xmlns:a16="http://schemas.microsoft.com/office/drawing/2014/main" id="{00000000-0008-0000-0600-000093E22300}"/>
                </a:ext>
              </a:extLst>
            </xdr:cNvPr>
            <xdr:cNvSpPr>
              <a:spLocks noChangeArrowheads="1"/>
            </xdr:cNvSpPr>
          </xdr:nvSpPr>
          <xdr:spPr bwMode="auto">
            <a:xfrm>
              <a:off x="754" y="1417"/>
              <a:ext cx="1344" cy="6"/>
            </a:xfrm>
            <a:prstGeom prst="rect">
              <a:avLst/>
            </a:prstGeom>
            <a:solidFill>
              <a:srgbClr val="000000"/>
            </a:solidFill>
            <a:ln w="9525">
              <a:noFill/>
              <a:miter lim="800000"/>
              <a:headEnd/>
              <a:tailEnd/>
            </a:ln>
          </xdr:spPr>
        </xdr:sp>
        <xdr:sp macro="" textlink="">
          <xdr:nvSpPr>
            <xdr:cNvPr id="2351764" name="Line 123">
              <a:extLst>
                <a:ext uri="{FF2B5EF4-FFF2-40B4-BE49-F238E27FC236}">
                  <a16:creationId xmlns:a16="http://schemas.microsoft.com/office/drawing/2014/main" id="{00000000-0008-0000-0600-000094E22300}"/>
                </a:ext>
              </a:extLst>
            </xdr:cNvPr>
            <xdr:cNvSpPr>
              <a:spLocks noChangeShapeType="1"/>
            </xdr:cNvSpPr>
          </xdr:nvSpPr>
          <xdr:spPr bwMode="auto">
            <a:xfrm>
              <a:off x="2092" y="1303"/>
              <a:ext cx="1" cy="114"/>
            </a:xfrm>
            <a:prstGeom prst="line">
              <a:avLst/>
            </a:prstGeom>
            <a:noFill/>
            <a:ln w="0">
              <a:solidFill>
                <a:srgbClr val="D0D7E5"/>
              </a:solidFill>
              <a:round/>
              <a:headEnd/>
              <a:tailEnd/>
            </a:ln>
          </xdr:spPr>
        </xdr:sp>
        <xdr:sp macro="" textlink="">
          <xdr:nvSpPr>
            <xdr:cNvPr id="2351765" name="Rectangle 124">
              <a:extLst>
                <a:ext uri="{FF2B5EF4-FFF2-40B4-BE49-F238E27FC236}">
                  <a16:creationId xmlns:a16="http://schemas.microsoft.com/office/drawing/2014/main" id="{00000000-0008-0000-0600-000095E22300}"/>
                </a:ext>
              </a:extLst>
            </xdr:cNvPr>
            <xdr:cNvSpPr>
              <a:spLocks noChangeArrowheads="1"/>
            </xdr:cNvSpPr>
          </xdr:nvSpPr>
          <xdr:spPr bwMode="auto">
            <a:xfrm>
              <a:off x="2092" y="1303"/>
              <a:ext cx="6" cy="114"/>
            </a:xfrm>
            <a:prstGeom prst="rect">
              <a:avLst/>
            </a:prstGeom>
            <a:solidFill>
              <a:srgbClr val="D0D7E5"/>
            </a:solidFill>
            <a:ln w="9525">
              <a:noFill/>
              <a:miter lim="800000"/>
              <a:headEnd/>
              <a:tailEnd/>
            </a:ln>
          </xdr:spPr>
        </xdr:sp>
        <xdr:sp macro="" textlink="">
          <xdr:nvSpPr>
            <xdr:cNvPr id="2351766" name="Line 125">
              <a:extLst>
                <a:ext uri="{FF2B5EF4-FFF2-40B4-BE49-F238E27FC236}">
                  <a16:creationId xmlns:a16="http://schemas.microsoft.com/office/drawing/2014/main" id="{00000000-0008-0000-0600-000096E22300}"/>
                </a:ext>
              </a:extLst>
            </xdr:cNvPr>
            <xdr:cNvSpPr>
              <a:spLocks noChangeShapeType="1"/>
            </xdr:cNvSpPr>
          </xdr:nvSpPr>
          <xdr:spPr bwMode="auto">
            <a:xfrm>
              <a:off x="754" y="1543"/>
              <a:ext cx="2022" cy="1"/>
            </a:xfrm>
            <a:prstGeom prst="line">
              <a:avLst/>
            </a:prstGeom>
            <a:noFill/>
            <a:ln w="0">
              <a:solidFill>
                <a:srgbClr val="000000"/>
              </a:solidFill>
              <a:round/>
              <a:headEnd/>
              <a:tailEnd/>
            </a:ln>
          </xdr:spPr>
        </xdr:sp>
        <xdr:sp macro="" textlink="">
          <xdr:nvSpPr>
            <xdr:cNvPr id="2351767" name="Rectangle 126">
              <a:extLst>
                <a:ext uri="{FF2B5EF4-FFF2-40B4-BE49-F238E27FC236}">
                  <a16:creationId xmlns:a16="http://schemas.microsoft.com/office/drawing/2014/main" id="{00000000-0008-0000-0600-000097E22300}"/>
                </a:ext>
              </a:extLst>
            </xdr:cNvPr>
            <xdr:cNvSpPr>
              <a:spLocks noChangeArrowheads="1"/>
            </xdr:cNvSpPr>
          </xdr:nvSpPr>
          <xdr:spPr bwMode="auto">
            <a:xfrm>
              <a:off x="754" y="1543"/>
              <a:ext cx="2022" cy="6"/>
            </a:xfrm>
            <a:prstGeom prst="rect">
              <a:avLst/>
            </a:prstGeom>
            <a:solidFill>
              <a:srgbClr val="000000"/>
            </a:solidFill>
            <a:ln w="9525">
              <a:noFill/>
              <a:miter lim="800000"/>
              <a:headEnd/>
              <a:tailEnd/>
            </a:ln>
          </xdr:spPr>
        </xdr:sp>
        <xdr:sp macro="" textlink="">
          <xdr:nvSpPr>
            <xdr:cNvPr id="2351768" name="Line 127">
              <a:extLst>
                <a:ext uri="{FF2B5EF4-FFF2-40B4-BE49-F238E27FC236}">
                  <a16:creationId xmlns:a16="http://schemas.microsoft.com/office/drawing/2014/main" id="{00000000-0008-0000-0600-000098E22300}"/>
                </a:ext>
              </a:extLst>
            </xdr:cNvPr>
            <xdr:cNvSpPr>
              <a:spLocks noChangeShapeType="1"/>
            </xdr:cNvSpPr>
          </xdr:nvSpPr>
          <xdr:spPr bwMode="auto">
            <a:xfrm>
              <a:off x="2770" y="1303"/>
              <a:ext cx="1" cy="240"/>
            </a:xfrm>
            <a:prstGeom prst="line">
              <a:avLst/>
            </a:prstGeom>
            <a:noFill/>
            <a:ln w="0">
              <a:solidFill>
                <a:srgbClr val="D0D7E5"/>
              </a:solidFill>
              <a:round/>
              <a:headEnd/>
              <a:tailEnd/>
            </a:ln>
          </xdr:spPr>
        </xdr:sp>
        <xdr:sp macro="" textlink="">
          <xdr:nvSpPr>
            <xdr:cNvPr id="2351769" name="Rectangle 128">
              <a:extLst>
                <a:ext uri="{FF2B5EF4-FFF2-40B4-BE49-F238E27FC236}">
                  <a16:creationId xmlns:a16="http://schemas.microsoft.com/office/drawing/2014/main" id="{00000000-0008-0000-0600-000099E22300}"/>
                </a:ext>
              </a:extLst>
            </xdr:cNvPr>
            <xdr:cNvSpPr>
              <a:spLocks noChangeArrowheads="1"/>
            </xdr:cNvSpPr>
          </xdr:nvSpPr>
          <xdr:spPr bwMode="auto">
            <a:xfrm>
              <a:off x="2770" y="1303"/>
              <a:ext cx="6" cy="240"/>
            </a:xfrm>
            <a:prstGeom prst="rect">
              <a:avLst/>
            </a:prstGeom>
            <a:solidFill>
              <a:srgbClr val="D0D7E5"/>
            </a:solidFill>
            <a:ln w="9525">
              <a:noFill/>
              <a:miter lim="800000"/>
              <a:headEnd/>
              <a:tailEnd/>
            </a:ln>
          </xdr:spPr>
        </xdr:sp>
        <xdr:sp macro="" textlink="">
          <xdr:nvSpPr>
            <xdr:cNvPr id="2351770" name="Line 129">
              <a:extLst>
                <a:ext uri="{FF2B5EF4-FFF2-40B4-BE49-F238E27FC236}">
                  <a16:creationId xmlns:a16="http://schemas.microsoft.com/office/drawing/2014/main" id="{00000000-0008-0000-0600-00009AE22300}"/>
                </a:ext>
              </a:extLst>
            </xdr:cNvPr>
            <xdr:cNvSpPr>
              <a:spLocks noChangeShapeType="1"/>
            </xdr:cNvSpPr>
          </xdr:nvSpPr>
          <xdr:spPr bwMode="auto">
            <a:xfrm>
              <a:off x="2776" y="1543"/>
              <a:ext cx="654" cy="1"/>
            </a:xfrm>
            <a:prstGeom prst="line">
              <a:avLst/>
            </a:prstGeom>
            <a:noFill/>
            <a:ln w="0">
              <a:solidFill>
                <a:srgbClr val="D0D7E5"/>
              </a:solidFill>
              <a:round/>
              <a:headEnd/>
              <a:tailEnd/>
            </a:ln>
          </xdr:spPr>
        </xdr:sp>
        <xdr:sp macro="" textlink="">
          <xdr:nvSpPr>
            <xdr:cNvPr id="2351771" name="Rectangle 130">
              <a:extLst>
                <a:ext uri="{FF2B5EF4-FFF2-40B4-BE49-F238E27FC236}">
                  <a16:creationId xmlns:a16="http://schemas.microsoft.com/office/drawing/2014/main" id="{00000000-0008-0000-0600-00009BE22300}"/>
                </a:ext>
              </a:extLst>
            </xdr:cNvPr>
            <xdr:cNvSpPr>
              <a:spLocks noChangeArrowheads="1"/>
            </xdr:cNvSpPr>
          </xdr:nvSpPr>
          <xdr:spPr bwMode="auto">
            <a:xfrm>
              <a:off x="2776" y="1543"/>
              <a:ext cx="654" cy="6"/>
            </a:xfrm>
            <a:prstGeom prst="rect">
              <a:avLst/>
            </a:prstGeom>
            <a:solidFill>
              <a:srgbClr val="D0D7E5"/>
            </a:solidFill>
            <a:ln w="9525">
              <a:noFill/>
              <a:miter lim="800000"/>
              <a:headEnd/>
              <a:tailEnd/>
            </a:ln>
          </xdr:spPr>
        </xdr:sp>
        <xdr:sp macro="" textlink="">
          <xdr:nvSpPr>
            <xdr:cNvPr id="2351772" name="Line 131">
              <a:extLst>
                <a:ext uri="{FF2B5EF4-FFF2-40B4-BE49-F238E27FC236}">
                  <a16:creationId xmlns:a16="http://schemas.microsoft.com/office/drawing/2014/main" id="{00000000-0008-0000-0600-00009CE22300}"/>
                </a:ext>
              </a:extLst>
            </xdr:cNvPr>
            <xdr:cNvSpPr>
              <a:spLocks noChangeShapeType="1"/>
            </xdr:cNvSpPr>
          </xdr:nvSpPr>
          <xdr:spPr bwMode="auto">
            <a:xfrm>
              <a:off x="3430" y="1303"/>
              <a:ext cx="1" cy="240"/>
            </a:xfrm>
            <a:prstGeom prst="line">
              <a:avLst/>
            </a:prstGeom>
            <a:noFill/>
            <a:ln w="0">
              <a:solidFill>
                <a:srgbClr val="D0D7E5"/>
              </a:solidFill>
              <a:round/>
              <a:headEnd/>
              <a:tailEnd/>
            </a:ln>
          </xdr:spPr>
        </xdr:sp>
        <xdr:sp macro="" textlink="">
          <xdr:nvSpPr>
            <xdr:cNvPr id="2351773" name="Rectangle 132">
              <a:extLst>
                <a:ext uri="{FF2B5EF4-FFF2-40B4-BE49-F238E27FC236}">
                  <a16:creationId xmlns:a16="http://schemas.microsoft.com/office/drawing/2014/main" id="{00000000-0008-0000-0600-00009DE22300}"/>
                </a:ext>
              </a:extLst>
            </xdr:cNvPr>
            <xdr:cNvSpPr>
              <a:spLocks noChangeArrowheads="1"/>
            </xdr:cNvSpPr>
          </xdr:nvSpPr>
          <xdr:spPr bwMode="auto">
            <a:xfrm>
              <a:off x="3430" y="1303"/>
              <a:ext cx="6" cy="240"/>
            </a:xfrm>
            <a:prstGeom prst="rect">
              <a:avLst/>
            </a:prstGeom>
            <a:solidFill>
              <a:srgbClr val="D0D7E5"/>
            </a:solidFill>
            <a:ln w="9525">
              <a:noFill/>
              <a:miter lim="800000"/>
              <a:headEnd/>
              <a:tailEnd/>
            </a:ln>
          </xdr:spPr>
        </xdr:sp>
        <xdr:sp macro="" textlink="">
          <xdr:nvSpPr>
            <xdr:cNvPr id="2351774" name="Line 133">
              <a:extLst>
                <a:ext uri="{FF2B5EF4-FFF2-40B4-BE49-F238E27FC236}">
                  <a16:creationId xmlns:a16="http://schemas.microsoft.com/office/drawing/2014/main" id="{00000000-0008-0000-0600-00009EE22300}"/>
                </a:ext>
              </a:extLst>
            </xdr:cNvPr>
            <xdr:cNvSpPr>
              <a:spLocks noChangeShapeType="1"/>
            </xdr:cNvSpPr>
          </xdr:nvSpPr>
          <xdr:spPr bwMode="auto">
            <a:xfrm>
              <a:off x="3436" y="1543"/>
              <a:ext cx="1782" cy="1"/>
            </a:xfrm>
            <a:prstGeom prst="line">
              <a:avLst/>
            </a:prstGeom>
            <a:noFill/>
            <a:ln w="0">
              <a:solidFill>
                <a:srgbClr val="000000"/>
              </a:solidFill>
              <a:round/>
              <a:headEnd/>
              <a:tailEnd/>
            </a:ln>
          </xdr:spPr>
        </xdr:sp>
        <xdr:sp macro="" textlink="">
          <xdr:nvSpPr>
            <xdr:cNvPr id="2351775" name="Rectangle 134">
              <a:extLst>
                <a:ext uri="{FF2B5EF4-FFF2-40B4-BE49-F238E27FC236}">
                  <a16:creationId xmlns:a16="http://schemas.microsoft.com/office/drawing/2014/main" id="{00000000-0008-0000-0600-00009FE22300}"/>
                </a:ext>
              </a:extLst>
            </xdr:cNvPr>
            <xdr:cNvSpPr>
              <a:spLocks noChangeArrowheads="1"/>
            </xdr:cNvSpPr>
          </xdr:nvSpPr>
          <xdr:spPr bwMode="auto">
            <a:xfrm>
              <a:off x="3436" y="1543"/>
              <a:ext cx="1782" cy="6"/>
            </a:xfrm>
            <a:prstGeom prst="rect">
              <a:avLst/>
            </a:prstGeom>
            <a:solidFill>
              <a:srgbClr val="000000"/>
            </a:solidFill>
            <a:ln w="9525">
              <a:noFill/>
              <a:miter lim="800000"/>
              <a:headEnd/>
              <a:tailEnd/>
            </a:ln>
          </xdr:spPr>
        </xdr:sp>
        <xdr:sp macro="" textlink="">
          <xdr:nvSpPr>
            <xdr:cNvPr id="2351776" name="Line 135">
              <a:extLst>
                <a:ext uri="{FF2B5EF4-FFF2-40B4-BE49-F238E27FC236}">
                  <a16:creationId xmlns:a16="http://schemas.microsoft.com/office/drawing/2014/main" id="{00000000-0008-0000-0600-0000A0E22300}"/>
                </a:ext>
              </a:extLst>
            </xdr:cNvPr>
            <xdr:cNvSpPr>
              <a:spLocks noChangeShapeType="1"/>
            </xdr:cNvSpPr>
          </xdr:nvSpPr>
          <xdr:spPr bwMode="auto">
            <a:xfrm>
              <a:off x="5212" y="1303"/>
              <a:ext cx="1" cy="240"/>
            </a:xfrm>
            <a:prstGeom prst="line">
              <a:avLst/>
            </a:prstGeom>
            <a:noFill/>
            <a:ln w="0">
              <a:solidFill>
                <a:srgbClr val="D0D7E5"/>
              </a:solidFill>
              <a:round/>
              <a:headEnd/>
              <a:tailEnd/>
            </a:ln>
          </xdr:spPr>
        </xdr:sp>
        <xdr:sp macro="" textlink="">
          <xdr:nvSpPr>
            <xdr:cNvPr id="2351777" name="Rectangle 136">
              <a:extLst>
                <a:ext uri="{FF2B5EF4-FFF2-40B4-BE49-F238E27FC236}">
                  <a16:creationId xmlns:a16="http://schemas.microsoft.com/office/drawing/2014/main" id="{00000000-0008-0000-0600-0000A1E22300}"/>
                </a:ext>
              </a:extLst>
            </xdr:cNvPr>
            <xdr:cNvSpPr>
              <a:spLocks noChangeArrowheads="1"/>
            </xdr:cNvSpPr>
          </xdr:nvSpPr>
          <xdr:spPr bwMode="auto">
            <a:xfrm>
              <a:off x="5212" y="1303"/>
              <a:ext cx="6" cy="240"/>
            </a:xfrm>
            <a:prstGeom prst="rect">
              <a:avLst/>
            </a:prstGeom>
            <a:solidFill>
              <a:srgbClr val="D0D7E5"/>
            </a:solidFill>
            <a:ln w="9525">
              <a:noFill/>
              <a:miter lim="800000"/>
              <a:headEnd/>
              <a:tailEnd/>
            </a:ln>
          </xdr:spPr>
        </xdr:sp>
        <xdr:sp macro="" textlink="">
          <xdr:nvSpPr>
            <xdr:cNvPr id="2351778" name="Line 137">
              <a:extLst>
                <a:ext uri="{FF2B5EF4-FFF2-40B4-BE49-F238E27FC236}">
                  <a16:creationId xmlns:a16="http://schemas.microsoft.com/office/drawing/2014/main" id="{00000000-0008-0000-0600-0000A2E22300}"/>
                </a:ext>
              </a:extLst>
            </xdr:cNvPr>
            <xdr:cNvSpPr>
              <a:spLocks noChangeShapeType="1"/>
            </xdr:cNvSpPr>
          </xdr:nvSpPr>
          <xdr:spPr bwMode="auto">
            <a:xfrm>
              <a:off x="754" y="1663"/>
              <a:ext cx="2022" cy="1"/>
            </a:xfrm>
            <a:prstGeom prst="line">
              <a:avLst/>
            </a:prstGeom>
            <a:noFill/>
            <a:ln w="0">
              <a:solidFill>
                <a:srgbClr val="000000"/>
              </a:solidFill>
              <a:round/>
              <a:headEnd/>
              <a:tailEnd/>
            </a:ln>
          </xdr:spPr>
        </xdr:sp>
        <xdr:sp macro="" textlink="">
          <xdr:nvSpPr>
            <xdr:cNvPr id="2351779" name="Rectangle 138">
              <a:extLst>
                <a:ext uri="{FF2B5EF4-FFF2-40B4-BE49-F238E27FC236}">
                  <a16:creationId xmlns:a16="http://schemas.microsoft.com/office/drawing/2014/main" id="{00000000-0008-0000-0600-0000A3E22300}"/>
                </a:ext>
              </a:extLst>
            </xdr:cNvPr>
            <xdr:cNvSpPr>
              <a:spLocks noChangeArrowheads="1"/>
            </xdr:cNvSpPr>
          </xdr:nvSpPr>
          <xdr:spPr bwMode="auto">
            <a:xfrm>
              <a:off x="754" y="1663"/>
              <a:ext cx="2022" cy="6"/>
            </a:xfrm>
            <a:prstGeom prst="rect">
              <a:avLst/>
            </a:prstGeom>
            <a:solidFill>
              <a:srgbClr val="000000"/>
            </a:solidFill>
            <a:ln w="9525">
              <a:noFill/>
              <a:miter lim="800000"/>
              <a:headEnd/>
              <a:tailEnd/>
            </a:ln>
          </xdr:spPr>
        </xdr:sp>
        <xdr:sp macro="" textlink="">
          <xdr:nvSpPr>
            <xdr:cNvPr id="2351780" name="Line 139">
              <a:extLst>
                <a:ext uri="{FF2B5EF4-FFF2-40B4-BE49-F238E27FC236}">
                  <a16:creationId xmlns:a16="http://schemas.microsoft.com/office/drawing/2014/main" id="{00000000-0008-0000-0600-0000A4E22300}"/>
                </a:ext>
              </a:extLst>
            </xdr:cNvPr>
            <xdr:cNvSpPr>
              <a:spLocks noChangeShapeType="1"/>
            </xdr:cNvSpPr>
          </xdr:nvSpPr>
          <xdr:spPr bwMode="auto">
            <a:xfrm>
              <a:off x="2776" y="1663"/>
              <a:ext cx="654" cy="1"/>
            </a:xfrm>
            <a:prstGeom prst="line">
              <a:avLst/>
            </a:prstGeom>
            <a:noFill/>
            <a:ln w="0">
              <a:solidFill>
                <a:srgbClr val="D0D7E5"/>
              </a:solidFill>
              <a:round/>
              <a:headEnd/>
              <a:tailEnd/>
            </a:ln>
          </xdr:spPr>
        </xdr:sp>
        <xdr:sp macro="" textlink="">
          <xdr:nvSpPr>
            <xdr:cNvPr id="2351781" name="Rectangle 140">
              <a:extLst>
                <a:ext uri="{FF2B5EF4-FFF2-40B4-BE49-F238E27FC236}">
                  <a16:creationId xmlns:a16="http://schemas.microsoft.com/office/drawing/2014/main" id="{00000000-0008-0000-0600-0000A5E22300}"/>
                </a:ext>
              </a:extLst>
            </xdr:cNvPr>
            <xdr:cNvSpPr>
              <a:spLocks noChangeArrowheads="1"/>
            </xdr:cNvSpPr>
          </xdr:nvSpPr>
          <xdr:spPr bwMode="auto">
            <a:xfrm>
              <a:off x="2776" y="1657"/>
              <a:ext cx="654" cy="6"/>
            </a:xfrm>
            <a:prstGeom prst="rect">
              <a:avLst/>
            </a:prstGeom>
            <a:solidFill>
              <a:srgbClr val="D0D7E5"/>
            </a:solidFill>
            <a:ln w="9525">
              <a:noFill/>
              <a:miter lim="800000"/>
              <a:headEnd/>
              <a:tailEnd/>
            </a:ln>
          </xdr:spPr>
        </xdr:sp>
        <xdr:sp macro="" textlink="">
          <xdr:nvSpPr>
            <xdr:cNvPr id="2351782" name="Line 141">
              <a:extLst>
                <a:ext uri="{FF2B5EF4-FFF2-40B4-BE49-F238E27FC236}">
                  <a16:creationId xmlns:a16="http://schemas.microsoft.com/office/drawing/2014/main" id="{00000000-0008-0000-0600-0000A6E22300}"/>
                </a:ext>
              </a:extLst>
            </xdr:cNvPr>
            <xdr:cNvSpPr>
              <a:spLocks noChangeShapeType="1"/>
            </xdr:cNvSpPr>
          </xdr:nvSpPr>
          <xdr:spPr bwMode="auto">
            <a:xfrm>
              <a:off x="3436" y="1663"/>
              <a:ext cx="1782" cy="1"/>
            </a:xfrm>
            <a:prstGeom prst="line">
              <a:avLst/>
            </a:prstGeom>
            <a:noFill/>
            <a:ln w="0">
              <a:solidFill>
                <a:srgbClr val="000000"/>
              </a:solidFill>
              <a:round/>
              <a:headEnd/>
              <a:tailEnd/>
            </a:ln>
          </xdr:spPr>
        </xdr:sp>
        <xdr:sp macro="" textlink="">
          <xdr:nvSpPr>
            <xdr:cNvPr id="2351783" name="Rectangle 142">
              <a:extLst>
                <a:ext uri="{FF2B5EF4-FFF2-40B4-BE49-F238E27FC236}">
                  <a16:creationId xmlns:a16="http://schemas.microsoft.com/office/drawing/2014/main" id="{00000000-0008-0000-0600-0000A7E22300}"/>
                </a:ext>
              </a:extLst>
            </xdr:cNvPr>
            <xdr:cNvSpPr>
              <a:spLocks noChangeArrowheads="1"/>
            </xdr:cNvSpPr>
          </xdr:nvSpPr>
          <xdr:spPr bwMode="auto">
            <a:xfrm>
              <a:off x="3436" y="1663"/>
              <a:ext cx="1782" cy="6"/>
            </a:xfrm>
            <a:prstGeom prst="rect">
              <a:avLst/>
            </a:prstGeom>
            <a:solidFill>
              <a:srgbClr val="000000"/>
            </a:solidFill>
            <a:ln w="9525">
              <a:noFill/>
              <a:miter lim="800000"/>
              <a:headEnd/>
              <a:tailEnd/>
            </a:ln>
          </xdr:spPr>
        </xdr:sp>
        <xdr:sp macro="" textlink="">
          <xdr:nvSpPr>
            <xdr:cNvPr id="2351784" name="Line 143">
              <a:extLst>
                <a:ext uri="{FF2B5EF4-FFF2-40B4-BE49-F238E27FC236}">
                  <a16:creationId xmlns:a16="http://schemas.microsoft.com/office/drawing/2014/main" id="{00000000-0008-0000-0600-0000A8E22300}"/>
                </a:ext>
              </a:extLst>
            </xdr:cNvPr>
            <xdr:cNvSpPr>
              <a:spLocks noChangeShapeType="1"/>
            </xdr:cNvSpPr>
          </xdr:nvSpPr>
          <xdr:spPr bwMode="auto">
            <a:xfrm>
              <a:off x="754" y="1783"/>
              <a:ext cx="2022" cy="1"/>
            </a:xfrm>
            <a:prstGeom prst="line">
              <a:avLst/>
            </a:prstGeom>
            <a:noFill/>
            <a:ln w="0">
              <a:solidFill>
                <a:srgbClr val="000000"/>
              </a:solidFill>
              <a:round/>
              <a:headEnd/>
              <a:tailEnd/>
            </a:ln>
          </xdr:spPr>
        </xdr:sp>
        <xdr:sp macro="" textlink="">
          <xdr:nvSpPr>
            <xdr:cNvPr id="2351785" name="Rectangle 144">
              <a:extLst>
                <a:ext uri="{FF2B5EF4-FFF2-40B4-BE49-F238E27FC236}">
                  <a16:creationId xmlns:a16="http://schemas.microsoft.com/office/drawing/2014/main" id="{00000000-0008-0000-0600-0000A9E22300}"/>
                </a:ext>
              </a:extLst>
            </xdr:cNvPr>
            <xdr:cNvSpPr>
              <a:spLocks noChangeArrowheads="1"/>
            </xdr:cNvSpPr>
          </xdr:nvSpPr>
          <xdr:spPr bwMode="auto">
            <a:xfrm>
              <a:off x="754" y="1783"/>
              <a:ext cx="2022" cy="6"/>
            </a:xfrm>
            <a:prstGeom prst="rect">
              <a:avLst/>
            </a:prstGeom>
            <a:solidFill>
              <a:srgbClr val="000000"/>
            </a:solidFill>
            <a:ln w="9525">
              <a:noFill/>
              <a:miter lim="800000"/>
              <a:headEnd/>
              <a:tailEnd/>
            </a:ln>
          </xdr:spPr>
        </xdr:sp>
        <xdr:sp macro="" textlink="">
          <xdr:nvSpPr>
            <xdr:cNvPr id="2351786" name="Line 145">
              <a:extLst>
                <a:ext uri="{FF2B5EF4-FFF2-40B4-BE49-F238E27FC236}">
                  <a16:creationId xmlns:a16="http://schemas.microsoft.com/office/drawing/2014/main" id="{00000000-0008-0000-0600-0000AAE22300}"/>
                </a:ext>
              </a:extLst>
            </xdr:cNvPr>
            <xdr:cNvSpPr>
              <a:spLocks noChangeShapeType="1"/>
            </xdr:cNvSpPr>
          </xdr:nvSpPr>
          <xdr:spPr bwMode="auto">
            <a:xfrm>
              <a:off x="2776" y="1783"/>
              <a:ext cx="654" cy="1"/>
            </a:xfrm>
            <a:prstGeom prst="line">
              <a:avLst/>
            </a:prstGeom>
            <a:noFill/>
            <a:ln w="0">
              <a:solidFill>
                <a:srgbClr val="D0D7E5"/>
              </a:solidFill>
              <a:round/>
              <a:headEnd/>
              <a:tailEnd/>
            </a:ln>
          </xdr:spPr>
        </xdr:sp>
        <xdr:sp macro="" textlink="">
          <xdr:nvSpPr>
            <xdr:cNvPr id="2351787" name="Rectangle 146">
              <a:extLst>
                <a:ext uri="{FF2B5EF4-FFF2-40B4-BE49-F238E27FC236}">
                  <a16:creationId xmlns:a16="http://schemas.microsoft.com/office/drawing/2014/main" id="{00000000-0008-0000-0600-0000ABE22300}"/>
                </a:ext>
              </a:extLst>
            </xdr:cNvPr>
            <xdr:cNvSpPr>
              <a:spLocks noChangeArrowheads="1"/>
            </xdr:cNvSpPr>
          </xdr:nvSpPr>
          <xdr:spPr bwMode="auto">
            <a:xfrm>
              <a:off x="2776" y="1783"/>
              <a:ext cx="654" cy="6"/>
            </a:xfrm>
            <a:prstGeom prst="rect">
              <a:avLst/>
            </a:prstGeom>
            <a:solidFill>
              <a:srgbClr val="D0D7E5"/>
            </a:solidFill>
            <a:ln w="9525">
              <a:noFill/>
              <a:miter lim="800000"/>
              <a:headEnd/>
              <a:tailEnd/>
            </a:ln>
          </xdr:spPr>
        </xdr:sp>
        <xdr:sp macro="" textlink="">
          <xdr:nvSpPr>
            <xdr:cNvPr id="2351788" name="Line 147">
              <a:extLst>
                <a:ext uri="{FF2B5EF4-FFF2-40B4-BE49-F238E27FC236}">
                  <a16:creationId xmlns:a16="http://schemas.microsoft.com/office/drawing/2014/main" id="{00000000-0008-0000-0600-0000ACE22300}"/>
                </a:ext>
              </a:extLst>
            </xdr:cNvPr>
            <xdr:cNvSpPr>
              <a:spLocks noChangeShapeType="1"/>
            </xdr:cNvSpPr>
          </xdr:nvSpPr>
          <xdr:spPr bwMode="auto">
            <a:xfrm>
              <a:off x="3436" y="1783"/>
              <a:ext cx="1782" cy="1"/>
            </a:xfrm>
            <a:prstGeom prst="line">
              <a:avLst/>
            </a:prstGeom>
            <a:noFill/>
            <a:ln w="0">
              <a:solidFill>
                <a:srgbClr val="000000"/>
              </a:solidFill>
              <a:round/>
              <a:headEnd/>
              <a:tailEnd/>
            </a:ln>
          </xdr:spPr>
        </xdr:sp>
        <xdr:sp macro="" textlink="">
          <xdr:nvSpPr>
            <xdr:cNvPr id="2351789" name="Rectangle 148">
              <a:extLst>
                <a:ext uri="{FF2B5EF4-FFF2-40B4-BE49-F238E27FC236}">
                  <a16:creationId xmlns:a16="http://schemas.microsoft.com/office/drawing/2014/main" id="{00000000-0008-0000-0600-0000ADE22300}"/>
                </a:ext>
              </a:extLst>
            </xdr:cNvPr>
            <xdr:cNvSpPr>
              <a:spLocks noChangeArrowheads="1"/>
            </xdr:cNvSpPr>
          </xdr:nvSpPr>
          <xdr:spPr bwMode="auto">
            <a:xfrm>
              <a:off x="3436" y="1783"/>
              <a:ext cx="1782" cy="6"/>
            </a:xfrm>
            <a:prstGeom prst="rect">
              <a:avLst/>
            </a:prstGeom>
            <a:solidFill>
              <a:srgbClr val="000000"/>
            </a:solidFill>
            <a:ln w="9525">
              <a:noFill/>
              <a:miter lim="800000"/>
              <a:headEnd/>
              <a:tailEnd/>
            </a:ln>
          </xdr:spPr>
        </xdr:sp>
        <xdr:sp macro="" textlink="">
          <xdr:nvSpPr>
            <xdr:cNvPr id="2351790" name="Line 149">
              <a:extLst>
                <a:ext uri="{FF2B5EF4-FFF2-40B4-BE49-F238E27FC236}">
                  <a16:creationId xmlns:a16="http://schemas.microsoft.com/office/drawing/2014/main" id="{00000000-0008-0000-0600-0000AEE22300}"/>
                </a:ext>
              </a:extLst>
            </xdr:cNvPr>
            <xdr:cNvSpPr>
              <a:spLocks noChangeShapeType="1"/>
            </xdr:cNvSpPr>
          </xdr:nvSpPr>
          <xdr:spPr bwMode="auto">
            <a:xfrm>
              <a:off x="754" y="1903"/>
              <a:ext cx="2022" cy="1"/>
            </a:xfrm>
            <a:prstGeom prst="line">
              <a:avLst/>
            </a:prstGeom>
            <a:noFill/>
            <a:ln w="0">
              <a:solidFill>
                <a:srgbClr val="000000"/>
              </a:solidFill>
              <a:round/>
              <a:headEnd/>
              <a:tailEnd/>
            </a:ln>
          </xdr:spPr>
        </xdr:sp>
        <xdr:sp macro="" textlink="">
          <xdr:nvSpPr>
            <xdr:cNvPr id="2351791" name="Rectangle 150">
              <a:extLst>
                <a:ext uri="{FF2B5EF4-FFF2-40B4-BE49-F238E27FC236}">
                  <a16:creationId xmlns:a16="http://schemas.microsoft.com/office/drawing/2014/main" id="{00000000-0008-0000-0600-0000AFE22300}"/>
                </a:ext>
              </a:extLst>
            </xdr:cNvPr>
            <xdr:cNvSpPr>
              <a:spLocks noChangeArrowheads="1"/>
            </xdr:cNvSpPr>
          </xdr:nvSpPr>
          <xdr:spPr bwMode="auto">
            <a:xfrm>
              <a:off x="754" y="1903"/>
              <a:ext cx="2022" cy="6"/>
            </a:xfrm>
            <a:prstGeom prst="rect">
              <a:avLst/>
            </a:prstGeom>
            <a:solidFill>
              <a:srgbClr val="000000"/>
            </a:solidFill>
            <a:ln w="9525">
              <a:noFill/>
              <a:miter lim="800000"/>
              <a:headEnd/>
              <a:tailEnd/>
            </a:ln>
          </xdr:spPr>
        </xdr:sp>
        <xdr:sp macro="" textlink="">
          <xdr:nvSpPr>
            <xdr:cNvPr id="2351792" name="Line 151">
              <a:extLst>
                <a:ext uri="{FF2B5EF4-FFF2-40B4-BE49-F238E27FC236}">
                  <a16:creationId xmlns:a16="http://schemas.microsoft.com/office/drawing/2014/main" id="{00000000-0008-0000-0600-0000B0E22300}"/>
                </a:ext>
              </a:extLst>
            </xdr:cNvPr>
            <xdr:cNvSpPr>
              <a:spLocks noChangeShapeType="1"/>
            </xdr:cNvSpPr>
          </xdr:nvSpPr>
          <xdr:spPr bwMode="auto">
            <a:xfrm>
              <a:off x="2776" y="1903"/>
              <a:ext cx="654" cy="1"/>
            </a:xfrm>
            <a:prstGeom prst="line">
              <a:avLst/>
            </a:prstGeom>
            <a:noFill/>
            <a:ln w="0">
              <a:solidFill>
                <a:srgbClr val="D0D7E5"/>
              </a:solidFill>
              <a:round/>
              <a:headEnd/>
              <a:tailEnd/>
            </a:ln>
          </xdr:spPr>
        </xdr:sp>
        <xdr:sp macro="" textlink="">
          <xdr:nvSpPr>
            <xdr:cNvPr id="2351793" name="Rectangle 152">
              <a:extLst>
                <a:ext uri="{FF2B5EF4-FFF2-40B4-BE49-F238E27FC236}">
                  <a16:creationId xmlns:a16="http://schemas.microsoft.com/office/drawing/2014/main" id="{00000000-0008-0000-0600-0000B1E22300}"/>
                </a:ext>
              </a:extLst>
            </xdr:cNvPr>
            <xdr:cNvSpPr>
              <a:spLocks noChangeArrowheads="1"/>
            </xdr:cNvSpPr>
          </xdr:nvSpPr>
          <xdr:spPr bwMode="auto">
            <a:xfrm>
              <a:off x="2776" y="1903"/>
              <a:ext cx="654" cy="6"/>
            </a:xfrm>
            <a:prstGeom prst="rect">
              <a:avLst/>
            </a:prstGeom>
            <a:solidFill>
              <a:srgbClr val="D0D7E5"/>
            </a:solidFill>
            <a:ln w="9525">
              <a:noFill/>
              <a:miter lim="800000"/>
              <a:headEnd/>
              <a:tailEnd/>
            </a:ln>
          </xdr:spPr>
        </xdr:sp>
        <xdr:sp macro="" textlink="">
          <xdr:nvSpPr>
            <xdr:cNvPr id="2351794" name="Line 153">
              <a:extLst>
                <a:ext uri="{FF2B5EF4-FFF2-40B4-BE49-F238E27FC236}">
                  <a16:creationId xmlns:a16="http://schemas.microsoft.com/office/drawing/2014/main" id="{00000000-0008-0000-0600-0000B2E22300}"/>
                </a:ext>
              </a:extLst>
            </xdr:cNvPr>
            <xdr:cNvSpPr>
              <a:spLocks noChangeShapeType="1"/>
            </xdr:cNvSpPr>
          </xdr:nvSpPr>
          <xdr:spPr bwMode="auto">
            <a:xfrm>
              <a:off x="3430" y="1543"/>
              <a:ext cx="1" cy="366"/>
            </a:xfrm>
            <a:prstGeom prst="line">
              <a:avLst/>
            </a:prstGeom>
            <a:noFill/>
            <a:ln w="0">
              <a:solidFill>
                <a:srgbClr val="000000"/>
              </a:solidFill>
              <a:round/>
              <a:headEnd/>
              <a:tailEnd/>
            </a:ln>
          </xdr:spPr>
        </xdr:sp>
        <xdr:sp macro="" textlink="">
          <xdr:nvSpPr>
            <xdr:cNvPr id="2351795" name="Rectangle 154">
              <a:extLst>
                <a:ext uri="{FF2B5EF4-FFF2-40B4-BE49-F238E27FC236}">
                  <a16:creationId xmlns:a16="http://schemas.microsoft.com/office/drawing/2014/main" id="{00000000-0008-0000-0600-0000B3E22300}"/>
                </a:ext>
              </a:extLst>
            </xdr:cNvPr>
            <xdr:cNvSpPr>
              <a:spLocks noChangeArrowheads="1"/>
            </xdr:cNvSpPr>
          </xdr:nvSpPr>
          <xdr:spPr bwMode="auto">
            <a:xfrm>
              <a:off x="3430" y="1543"/>
              <a:ext cx="6" cy="366"/>
            </a:xfrm>
            <a:prstGeom prst="rect">
              <a:avLst/>
            </a:prstGeom>
            <a:solidFill>
              <a:srgbClr val="000000"/>
            </a:solidFill>
            <a:ln w="9525">
              <a:noFill/>
              <a:miter lim="800000"/>
              <a:headEnd/>
              <a:tailEnd/>
            </a:ln>
          </xdr:spPr>
        </xdr:sp>
        <xdr:sp macro="" textlink="">
          <xdr:nvSpPr>
            <xdr:cNvPr id="2351796" name="Line 155">
              <a:extLst>
                <a:ext uri="{FF2B5EF4-FFF2-40B4-BE49-F238E27FC236}">
                  <a16:creationId xmlns:a16="http://schemas.microsoft.com/office/drawing/2014/main" id="{00000000-0008-0000-0600-0000B4E22300}"/>
                </a:ext>
              </a:extLst>
            </xdr:cNvPr>
            <xdr:cNvSpPr>
              <a:spLocks noChangeShapeType="1"/>
            </xdr:cNvSpPr>
          </xdr:nvSpPr>
          <xdr:spPr bwMode="auto">
            <a:xfrm>
              <a:off x="3436" y="1903"/>
              <a:ext cx="1782" cy="1"/>
            </a:xfrm>
            <a:prstGeom prst="line">
              <a:avLst/>
            </a:prstGeom>
            <a:noFill/>
            <a:ln w="0">
              <a:solidFill>
                <a:srgbClr val="000000"/>
              </a:solidFill>
              <a:round/>
              <a:headEnd/>
              <a:tailEnd/>
            </a:ln>
          </xdr:spPr>
        </xdr:sp>
        <xdr:sp macro="" textlink="">
          <xdr:nvSpPr>
            <xdr:cNvPr id="2351797" name="Rectangle 156">
              <a:extLst>
                <a:ext uri="{FF2B5EF4-FFF2-40B4-BE49-F238E27FC236}">
                  <a16:creationId xmlns:a16="http://schemas.microsoft.com/office/drawing/2014/main" id="{00000000-0008-0000-0600-0000B5E22300}"/>
                </a:ext>
              </a:extLst>
            </xdr:cNvPr>
            <xdr:cNvSpPr>
              <a:spLocks noChangeArrowheads="1"/>
            </xdr:cNvSpPr>
          </xdr:nvSpPr>
          <xdr:spPr bwMode="auto">
            <a:xfrm>
              <a:off x="3436" y="1903"/>
              <a:ext cx="1782" cy="6"/>
            </a:xfrm>
            <a:prstGeom prst="rect">
              <a:avLst/>
            </a:prstGeom>
            <a:solidFill>
              <a:srgbClr val="000000"/>
            </a:solidFill>
            <a:ln w="9525">
              <a:noFill/>
              <a:miter lim="800000"/>
              <a:headEnd/>
              <a:tailEnd/>
            </a:ln>
          </xdr:spPr>
        </xdr:sp>
        <xdr:sp macro="" textlink="">
          <xdr:nvSpPr>
            <xdr:cNvPr id="2351798" name="Line 157">
              <a:extLst>
                <a:ext uri="{FF2B5EF4-FFF2-40B4-BE49-F238E27FC236}">
                  <a16:creationId xmlns:a16="http://schemas.microsoft.com/office/drawing/2014/main" id="{00000000-0008-0000-0600-0000B6E22300}"/>
                </a:ext>
              </a:extLst>
            </xdr:cNvPr>
            <xdr:cNvSpPr>
              <a:spLocks noChangeShapeType="1"/>
            </xdr:cNvSpPr>
          </xdr:nvSpPr>
          <xdr:spPr bwMode="auto">
            <a:xfrm>
              <a:off x="5212" y="1549"/>
              <a:ext cx="1" cy="360"/>
            </a:xfrm>
            <a:prstGeom prst="line">
              <a:avLst/>
            </a:prstGeom>
            <a:noFill/>
            <a:ln w="0">
              <a:solidFill>
                <a:srgbClr val="000000"/>
              </a:solidFill>
              <a:round/>
              <a:headEnd/>
              <a:tailEnd/>
            </a:ln>
          </xdr:spPr>
        </xdr:sp>
        <xdr:sp macro="" textlink="">
          <xdr:nvSpPr>
            <xdr:cNvPr id="2351799" name="Rectangle 158">
              <a:extLst>
                <a:ext uri="{FF2B5EF4-FFF2-40B4-BE49-F238E27FC236}">
                  <a16:creationId xmlns:a16="http://schemas.microsoft.com/office/drawing/2014/main" id="{00000000-0008-0000-0600-0000B7E22300}"/>
                </a:ext>
              </a:extLst>
            </xdr:cNvPr>
            <xdr:cNvSpPr>
              <a:spLocks noChangeArrowheads="1"/>
            </xdr:cNvSpPr>
          </xdr:nvSpPr>
          <xdr:spPr bwMode="auto">
            <a:xfrm>
              <a:off x="5212" y="1549"/>
              <a:ext cx="6" cy="360"/>
            </a:xfrm>
            <a:prstGeom prst="rect">
              <a:avLst/>
            </a:prstGeom>
            <a:solidFill>
              <a:srgbClr val="000000"/>
            </a:solidFill>
            <a:ln w="9525">
              <a:noFill/>
              <a:miter lim="800000"/>
              <a:headEnd/>
              <a:tailEnd/>
            </a:ln>
          </xdr:spPr>
        </xdr:sp>
        <xdr:sp macro="" textlink="">
          <xdr:nvSpPr>
            <xdr:cNvPr id="2351800" name="Line 159">
              <a:extLst>
                <a:ext uri="{FF2B5EF4-FFF2-40B4-BE49-F238E27FC236}">
                  <a16:creationId xmlns:a16="http://schemas.microsoft.com/office/drawing/2014/main" id="{00000000-0008-0000-0600-0000B8E22300}"/>
                </a:ext>
              </a:extLst>
            </xdr:cNvPr>
            <xdr:cNvSpPr>
              <a:spLocks noChangeShapeType="1"/>
            </xdr:cNvSpPr>
          </xdr:nvSpPr>
          <xdr:spPr bwMode="auto">
            <a:xfrm>
              <a:off x="3430" y="1909"/>
              <a:ext cx="1" cy="114"/>
            </a:xfrm>
            <a:prstGeom prst="line">
              <a:avLst/>
            </a:prstGeom>
            <a:noFill/>
            <a:ln w="0">
              <a:solidFill>
                <a:srgbClr val="D0D7E5"/>
              </a:solidFill>
              <a:round/>
              <a:headEnd/>
              <a:tailEnd/>
            </a:ln>
          </xdr:spPr>
        </xdr:sp>
        <xdr:sp macro="" textlink="">
          <xdr:nvSpPr>
            <xdr:cNvPr id="2351801" name="Rectangle 160">
              <a:extLst>
                <a:ext uri="{FF2B5EF4-FFF2-40B4-BE49-F238E27FC236}">
                  <a16:creationId xmlns:a16="http://schemas.microsoft.com/office/drawing/2014/main" id="{00000000-0008-0000-0600-0000B9E22300}"/>
                </a:ext>
              </a:extLst>
            </xdr:cNvPr>
            <xdr:cNvSpPr>
              <a:spLocks noChangeArrowheads="1"/>
            </xdr:cNvSpPr>
          </xdr:nvSpPr>
          <xdr:spPr bwMode="auto">
            <a:xfrm>
              <a:off x="3430" y="1909"/>
              <a:ext cx="6" cy="114"/>
            </a:xfrm>
            <a:prstGeom prst="rect">
              <a:avLst/>
            </a:prstGeom>
            <a:solidFill>
              <a:srgbClr val="D0D7E5"/>
            </a:solidFill>
            <a:ln w="9525">
              <a:noFill/>
              <a:miter lim="800000"/>
              <a:headEnd/>
              <a:tailEnd/>
            </a:ln>
          </xdr:spPr>
        </xdr:sp>
        <xdr:sp macro="" textlink="">
          <xdr:nvSpPr>
            <xdr:cNvPr id="2351802" name="Line 161">
              <a:extLst>
                <a:ext uri="{FF2B5EF4-FFF2-40B4-BE49-F238E27FC236}">
                  <a16:creationId xmlns:a16="http://schemas.microsoft.com/office/drawing/2014/main" id="{00000000-0008-0000-0600-0000BAE22300}"/>
                </a:ext>
              </a:extLst>
            </xdr:cNvPr>
            <xdr:cNvSpPr>
              <a:spLocks noChangeShapeType="1"/>
            </xdr:cNvSpPr>
          </xdr:nvSpPr>
          <xdr:spPr bwMode="auto">
            <a:xfrm>
              <a:off x="754" y="2023"/>
              <a:ext cx="4464" cy="1"/>
            </a:xfrm>
            <a:prstGeom prst="line">
              <a:avLst/>
            </a:prstGeom>
            <a:noFill/>
            <a:ln w="0">
              <a:solidFill>
                <a:srgbClr val="000000"/>
              </a:solidFill>
              <a:round/>
              <a:headEnd/>
              <a:tailEnd/>
            </a:ln>
          </xdr:spPr>
        </xdr:sp>
        <xdr:sp macro="" textlink="">
          <xdr:nvSpPr>
            <xdr:cNvPr id="2351803" name="Rectangle 162">
              <a:extLst>
                <a:ext uri="{FF2B5EF4-FFF2-40B4-BE49-F238E27FC236}">
                  <a16:creationId xmlns:a16="http://schemas.microsoft.com/office/drawing/2014/main" id="{00000000-0008-0000-0600-0000BBE22300}"/>
                </a:ext>
              </a:extLst>
            </xdr:cNvPr>
            <xdr:cNvSpPr>
              <a:spLocks noChangeArrowheads="1"/>
            </xdr:cNvSpPr>
          </xdr:nvSpPr>
          <xdr:spPr bwMode="auto">
            <a:xfrm>
              <a:off x="754" y="2023"/>
              <a:ext cx="4464" cy="6"/>
            </a:xfrm>
            <a:prstGeom prst="rect">
              <a:avLst/>
            </a:prstGeom>
            <a:solidFill>
              <a:srgbClr val="000000"/>
            </a:solidFill>
            <a:ln w="9525">
              <a:noFill/>
              <a:miter lim="800000"/>
              <a:headEnd/>
              <a:tailEnd/>
            </a:ln>
          </xdr:spPr>
        </xdr:sp>
        <xdr:sp macro="" textlink="">
          <xdr:nvSpPr>
            <xdr:cNvPr id="2351804" name="Line 163">
              <a:extLst>
                <a:ext uri="{FF2B5EF4-FFF2-40B4-BE49-F238E27FC236}">
                  <a16:creationId xmlns:a16="http://schemas.microsoft.com/office/drawing/2014/main" id="{00000000-0008-0000-0600-0000BCE22300}"/>
                </a:ext>
              </a:extLst>
            </xdr:cNvPr>
            <xdr:cNvSpPr>
              <a:spLocks noChangeShapeType="1"/>
            </xdr:cNvSpPr>
          </xdr:nvSpPr>
          <xdr:spPr bwMode="auto">
            <a:xfrm>
              <a:off x="5212" y="1909"/>
              <a:ext cx="1" cy="114"/>
            </a:xfrm>
            <a:prstGeom prst="line">
              <a:avLst/>
            </a:prstGeom>
            <a:noFill/>
            <a:ln w="0">
              <a:solidFill>
                <a:srgbClr val="D0D7E5"/>
              </a:solidFill>
              <a:round/>
              <a:headEnd/>
              <a:tailEnd/>
            </a:ln>
          </xdr:spPr>
        </xdr:sp>
        <xdr:sp macro="" textlink="">
          <xdr:nvSpPr>
            <xdr:cNvPr id="2351805" name="Rectangle 164">
              <a:extLst>
                <a:ext uri="{FF2B5EF4-FFF2-40B4-BE49-F238E27FC236}">
                  <a16:creationId xmlns:a16="http://schemas.microsoft.com/office/drawing/2014/main" id="{00000000-0008-0000-0600-0000BDE22300}"/>
                </a:ext>
              </a:extLst>
            </xdr:cNvPr>
            <xdr:cNvSpPr>
              <a:spLocks noChangeArrowheads="1"/>
            </xdr:cNvSpPr>
          </xdr:nvSpPr>
          <xdr:spPr bwMode="auto">
            <a:xfrm>
              <a:off x="5212" y="1909"/>
              <a:ext cx="6" cy="114"/>
            </a:xfrm>
            <a:prstGeom prst="rect">
              <a:avLst/>
            </a:prstGeom>
            <a:solidFill>
              <a:srgbClr val="D0D7E5"/>
            </a:solidFill>
            <a:ln w="9525">
              <a:noFill/>
              <a:miter lim="800000"/>
              <a:headEnd/>
              <a:tailEnd/>
            </a:ln>
          </xdr:spPr>
        </xdr:sp>
        <xdr:sp macro="" textlink="">
          <xdr:nvSpPr>
            <xdr:cNvPr id="2351806" name="Line 165">
              <a:extLst>
                <a:ext uri="{FF2B5EF4-FFF2-40B4-BE49-F238E27FC236}">
                  <a16:creationId xmlns:a16="http://schemas.microsoft.com/office/drawing/2014/main" id="{00000000-0008-0000-0600-0000BEE22300}"/>
                </a:ext>
              </a:extLst>
            </xdr:cNvPr>
            <xdr:cNvSpPr>
              <a:spLocks noChangeShapeType="1"/>
            </xdr:cNvSpPr>
          </xdr:nvSpPr>
          <xdr:spPr bwMode="auto">
            <a:xfrm>
              <a:off x="748" y="1417"/>
              <a:ext cx="1" cy="738"/>
            </a:xfrm>
            <a:prstGeom prst="line">
              <a:avLst/>
            </a:prstGeom>
            <a:noFill/>
            <a:ln w="0">
              <a:solidFill>
                <a:srgbClr val="000000"/>
              </a:solidFill>
              <a:round/>
              <a:headEnd/>
              <a:tailEnd/>
            </a:ln>
          </xdr:spPr>
        </xdr:sp>
        <xdr:sp macro="" textlink="">
          <xdr:nvSpPr>
            <xdr:cNvPr id="2351807" name="Rectangle 166">
              <a:extLst>
                <a:ext uri="{FF2B5EF4-FFF2-40B4-BE49-F238E27FC236}">
                  <a16:creationId xmlns:a16="http://schemas.microsoft.com/office/drawing/2014/main" id="{00000000-0008-0000-0600-0000BFE22300}"/>
                </a:ext>
              </a:extLst>
            </xdr:cNvPr>
            <xdr:cNvSpPr>
              <a:spLocks noChangeArrowheads="1"/>
            </xdr:cNvSpPr>
          </xdr:nvSpPr>
          <xdr:spPr bwMode="auto">
            <a:xfrm>
              <a:off x="748" y="1417"/>
              <a:ext cx="6" cy="738"/>
            </a:xfrm>
            <a:prstGeom prst="rect">
              <a:avLst/>
            </a:prstGeom>
            <a:solidFill>
              <a:srgbClr val="000000"/>
            </a:solidFill>
            <a:ln w="9525">
              <a:noFill/>
              <a:miter lim="800000"/>
              <a:headEnd/>
              <a:tailEnd/>
            </a:ln>
          </xdr:spPr>
        </xdr:sp>
        <xdr:sp macro="" textlink="">
          <xdr:nvSpPr>
            <xdr:cNvPr id="2351808" name="Line 167">
              <a:extLst>
                <a:ext uri="{FF2B5EF4-FFF2-40B4-BE49-F238E27FC236}">
                  <a16:creationId xmlns:a16="http://schemas.microsoft.com/office/drawing/2014/main" id="{00000000-0008-0000-0600-0000C0E22300}"/>
                </a:ext>
              </a:extLst>
            </xdr:cNvPr>
            <xdr:cNvSpPr>
              <a:spLocks noChangeShapeType="1"/>
            </xdr:cNvSpPr>
          </xdr:nvSpPr>
          <xdr:spPr bwMode="auto">
            <a:xfrm>
              <a:off x="2092" y="1423"/>
              <a:ext cx="1" cy="732"/>
            </a:xfrm>
            <a:prstGeom prst="line">
              <a:avLst/>
            </a:prstGeom>
            <a:noFill/>
            <a:ln w="0">
              <a:solidFill>
                <a:srgbClr val="000000"/>
              </a:solidFill>
              <a:round/>
              <a:headEnd/>
              <a:tailEnd/>
            </a:ln>
          </xdr:spPr>
        </xdr:sp>
        <xdr:sp macro="" textlink="">
          <xdr:nvSpPr>
            <xdr:cNvPr id="2351809" name="Rectangle 168">
              <a:extLst>
                <a:ext uri="{FF2B5EF4-FFF2-40B4-BE49-F238E27FC236}">
                  <a16:creationId xmlns:a16="http://schemas.microsoft.com/office/drawing/2014/main" id="{00000000-0008-0000-0600-0000C1E22300}"/>
                </a:ext>
              </a:extLst>
            </xdr:cNvPr>
            <xdr:cNvSpPr>
              <a:spLocks noChangeArrowheads="1"/>
            </xdr:cNvSpPr>
          </xdr:nvSpPr>
          <xdr:spPr bwMode="auto">
            <a:xfrm>
              <a:off x="2092" y="1423"/>
              <a:ext cx="6" cy="732"/>
            </a:xfrm>
            <a:prstGeom prst="rect">
              <a:avLst/>
            </a:prstGeom>
            <a:solidFill>
              <a:srgbClr val="000000"/>
            </a:solidFill>
            <a:ln w="9525">
              <a:noFill/>
              <a:miter lim="800000"/>
              <a:headEnd/>
              <a:tailEnd/>
            </a:ln>
          </xdr:spPr>
        </xdr:sp>
        <xdr:sp macro="" textlink="">
          <xdr:nvSpPr>
            <xdr:cNvPr id="2351810" name="Line 169">
              <a:extLst>
                <a:ext uri="{FF2B5EF4-FFF2-40B4-BE49-F238E27FC236}">
                  <a16:creationId xmlns:a16="http://schemas.microsoft.com/office/drawing/2014/main" id="{00000000-0008-0000-0600-0000C2E22300}"/>
                </a:ext>
              </a:extLst>
            </xdr:cNvPr>
            <xdr:cNvSpPr>
              <a:spLocks noChangeShapeType="1"/>
            </xdr:cNvSpPr>
          </xdr:nvSpPr>
          <xdr:spPr bwMode="auto">
            <a:xfrm>
              <a:off x="2770" y="1549"/>
              <a:ext cx="1" cy="606"/>
            </a:xfrm>
            <a:prstGeom prst="line">
              <a:avLst/>
            </a:prstGeom>
            <a:noFill/>
            <a:ln w="0">
              <a:solidFill>
                <a:srgbClr val="000000"/>
              </a:solidFill>
              <a:round/>
              <a:headEnd/>
              <a:tailEnd/>
            </a:ln>
          </xdr:spPr>
        </xdr:sp>
        <xdr:sp macro="" textlink="">
          <xdr:nvSpPr>
            <xdr:cNvPr id="2351811" name="Rectangle 170">
              <a:extLst>
                <a:ext uri="{FF2B5EF4-FFF2-40B4-BE49-F238E27FC236}">
                  <a16:creationId xmlns:a16="http://schemas.microsoft.com/office/drawing/2014/main" id="{00000000-0008-0000-0600-0000C3E22300}"/>
                </a:ext>
              </a:extLst>
            </xdr:cNvPr>
            <xdr:cNvSpPr>
              <a:spLocks noChangeArrowheads="1"/>
            </xdr:cNvSpPr>
          </xdr:nvSpPr>
          <xdr:spPr bwMode="auto">
            <a:xfrm>
              <a:off x="2770" y="1549"/>
              <a:ext cx="6" cy="606"/>
            </a:xfrm>
            <a:prstGeom prst="rect">
              <a:avLst/>
            </a:prstGeom>
            <a:solidFill>
              <a:srgbClr val="000000"/>
            </a:solidFill>
            <a:ln w="9525">
              <a:noFill/>
              <a:miter lim="800000"/>
              <a:headEnd/>
              <a:tailEnd/>
            </a:ln>
          </xdr:spPr>
        </xdr:sp>
        <xdr:sp macro="" textlink="">
          <xdr:nvSpPr>
            <xdr:cNvPr id="2351812" name="Line 171">
              <a:extLst>
                <a:ext uri="{FF2B5EF4-FFF2-40B4-BE49-F238E27FC236}">
                  <a16:creationId xmlns:a16="http://schemas.microsoft.com/office/drawing/2014/main" id="{00000000-0008-0000-0600-0000C4E22300}"/>
                </a:ext>
              </a:extLst>
            </xdr:cNvPr>
            <xdr:cNvSpPr>
              <a:spLocks noChangeShapeType="1"/>
            </xdr:cNvSpPr>
          </xdr:nvSpPr>
          <xdr:spPr bwMode="auto">
            <a:xfrm>
              <a:off x="3430" y="2029"/>
              <a:ext cx="1" cy="126"/>
            </a:xfrm>
            <a:prstGeom prst="line">
              <a:avLst/>
            </a:prstGeom>
            <a:noFill/>
            <a:ln w="0">
              <a:solidFill>
                <a:srgbClr val="000000"/>
              </a:solidFill>
              <a:round/>
              <a:headEnd/>
              <a:tailEnd/>
            </a:ln>
          </xdr:spPr>
        </xdr:sp>
        <xdr:sp macro="" textlink="">
          <xdr:nvSpPr>
            <xdr:cNvPr id="2351813" name="Rectangle 172">
              <a:extLst>
                <a:ext uri="{FF2B5EF4-FFF2-40B4-BE49-F238E27FC236}">
                  <a16:creationId xmlns:a16="http://schemas.microsoft.com/office/drawing/2014/main" id="{00000000-0008-0000-0600-0000C5E22300}"/>
                </a:ext>
              </a:extLst>
            </xdr:cNvPr>
            <xdr:cNvSpPr>
              <a:spLocks noChangeArrowheads="1"/>
            </xdr:cNvSpPr>
          </xdr:nvSpPr>
          <xdr:spPr bwMode="auto">
            <a:xfrm>
              <a:off x="3430" y="2029"/>
              <a:ext cx="6" cy="126"/>
            </a:xfrm>
            <a:prstGeom prst="rect">
              <a:avLst/>
            </a:prstGeom>
            <a:solidFill>
              <a:srgbClr val="000000"/>
            </a:solidFill>
            <a:ln w="9525">
              <a:noFill/>
              <a:miter lim="800000"/>
              <a:headEnd/>
              <a:tailEnd/>
            </a:ln>
          </xdr:spPr>
        </xdr:sp>
        <xdr:sp macro="" textlink="">
          <xdr:nvSpPr>
            <xdr:cNvPr id="2351814" name="Line 173">
              <a:extLst>
                <a:ext uri="{FF2B5EF4-FFF2-40B4-BE49-F238E27FC236}">
                  <a16:creationId xmlns:a16="http://schemas.microsoft.com/office/drawing/2014/main" id="{00000000-0008-0000-0600-0000C6E22300}"/>
                </a:ext>
              </a:extLst>
            </xdr:cNvPr>
            <xdr:cNvSpPr>
              <a:spLocks noChangeShapeType="1"/>
            </xdr:cNvSpPr>
          </xdr:nvSpPr>
          <xdr:spPr bwMode="auto">
            <a:xfrm>
              <a:off x="754" y="2149"/>
              <a:ext cx="4464" cy="1"/>
            </a:xfrm>
            <a:prstGeom prst="line">
              <a:avLst/>
            </a:prstGeom>
            <a:noFill/>
            <a:ln w="0">
              <a:solidFill>
                <a:srgbClr val="000000"/>
              </a:solidFill>
              <a:round/>
              <a:headEnd/>
              <a:tailEnd/>
            </a:ln>
          </xdr:spPr>
        </xdr:sp>
        <xdr:sp macro="" textlink="">
          <xdr:nvSpPr>
            <xdr:cNvPr id="2351815" name="Rectangle 174">
              <a:extLst>
                <a:ext uri="{FF2B5EF4-FFF2-40B4-BE49-F238E27FC236}">
                  <a16:creationId xmlns:a16="http://schemas.microsoft.com/office/drawing/2014/main" id="{00000000-0008-0000-0600-0000C7E22300}"/>
                </a:ext>
              </a:extLst>
            </xdr:cNvPr>
            <xdr:cNvSpPr>
              <a:spLocks noChangeArrowheads="1"/>
            </xdr:cNvSpPr>
          </xdr:nvSpPr>
          <xdr:spPr bwMode="auto">
            <a:xfrm>
              <a:off x="754" y="2149"/>
              <a:ext cx="4464" cy="6"/>
            </a:xfrm>
            <a:prstGeom prst="rect">
              <a:avLst/>
            </a:prstGeom>
            <a:solidFill>
              <a:srgbClr val="000000"/>
            </a:solidFill>
            <a:ln w="9525">
              <a:noFill/>
              <a:miter lim="800000"/>
              <a:headEnd/>
              <a:tailEnd/>
            </a:ln>
          </xdr:spPr>
        </xdr:sp>
        <xdr:sp macro="" textlink="">
          <xdr:nvSpPr>
            <xdr:cNvPr id="2351816" name="Line 175">
              <a:extLst>
                <a:ext uri="{FF2B5EF4-FFF2-40B4-BE49-F238E27FC236}">
                  <a16:creationId xmlns:a16="http://schemas.microsoft.com/office/drawing/2014/main" id="{00000000-0008-0000-0600-0000C8E22300}"/>
                </a:ext>
              </a:extLst>
            </xdr:cNvPr>
            <xdr:cNvSpPr>
              <a:spLocks noChangeShapeType="1"/>
            </xdr:cNvSpPr>
          </xdr:nvSpPr>
          <xdr:spPr bwMode="auto">
            <a:xfrm>
              <a:off x="5212" y="2029"/>
              <a:ext cx="1" cy="126"/>
            </a:xfrm>
            <a:prstGeom prst="line">
              <a:avLst/>
            </a:prstGeom>
            <a:noFill/>
            <a:ln w="0">
              <a:solidFill>
                <a:srgbClr val="000000"/>
              </a:solidFill>
              <a:round/>
              <a:headEnd/>
              <a:tailEnd/>
            </a:ln>
          </xdr:spPr>
        </xdr:sp>
        <xdr:sp macro="" textlink="">
          <xdr:nvSpPr>
            <xdr:cNvPr id="2351817" name="Rectangle 176">
              <a:extLst>
                <a:ext uri="{FF2B5EF4-FFF2-40B4-BE49-F238E27FC236}">
                  <a16:creationId xmlns:a16="http://schemas.microsoft.com/office/drawing/2014/main" id="{00000000-0008-0000-0600-0000C9E22300}"/>
                </a:ext>
              </a:extLst>
            </xdr:cNvPr>
            <xdr:cNvSpPr>
              <a:spLocks noChangeArrowheads="1"/>
            </xdr:cNvSpPr>
          </xdr:nvSpPr>
          <xdr:spPr bwMode="auto">
            <a:xfrm>
              <a:off x="5212" y="2029"/>
              <a:ext cx="6" cy="126"/>
            </a:xfrm>
            <a:prstGeom prst="rect">
              <a:avLst/>
            </a:prstGeom>
            <a:solidFill>
              <a:srgbClr val="000000"/>
            </a:solidFill>
            <a:ln w="9525">
              <a:noFill/>
              <a:miter lim="800000"/>
              <a:headEnd/>
              <a:tailEnd/>
            </a:ln>
          </xdr:spPr>
        </xdr:sp>
        <xdr:sp macro="" textlink="">
          <xdr:nvSpPr>
            <xdr:cNvPr id="2351818" name="Line 177">
              <a:extLst>
                <a:ext uri="{FF2B5EF4-FFF2-40B4-BE49-F238E27FC236}">
                  <a16:creationId xmlns:a16="http://schemas.microsoft.com/office/drawing/2014/main" id="{00000000-0008-0000-0600-0000CAE22300}"/>
                </a:ext>
              </a:extLst>
            </xdr:cNvPr>
            <xdr:cNvSpPr>
              <a:spLocks noChangeShapeType="1"/>
            </xdr:cNvSpPr>
          </xdr:nvSpPr>
          <xdr:spPr bwMode="auto">
            <a:xfrm>
              <a:off x="748" y="2155"/>
              <a:ext cx="1" cy="114"/>
            </a:xfrm>
            <a:prstGeom prst="line">
              <a:avLst/>
            </a:prstGeom>
            <a:noFill/>
            <a:ln w="0">
              <a:solidFill>
                <a:srgbClr val="D0D7E5"/>
              </a:solidFill>
              <a:round/>
              <a:headEnd/>
              <a:tailEnd/>
            </a:ln>
          </xdr:spPr>
        </xdr:sp>
        <xdr:sp macro="" textlink="">
          <xdr:nvSpPr>
            <xdr:cNvPr id="2351819" name="Rectangle 178">
              <a:extLst>
                <a:ext uri="{FF2B5EF4-FFF2-40B4-BE49-F238E27FC236}">
                  <a16:creationId xmlns:a16="http://schemas.microsoft.com/office/drawing/2014/main" id="{00000000-0008-0000-0600-0000CBE22300}"/>
                </a:ext>
              </a:extLst>
            </xdr:cNvPr>
            <xdr:cNvSpPr>
              <a:spLocks noChangeArrowheads="1"/>
            </xdr:cNvSpPr>
          </xdr:nvSpPr>
          <xdr:spPr bwMode="auto">
            <a:xfrm>
              <a:off x="748" y="2155"/>
              <a:ext cx="6" cy="114"/>
            </a:xfrm>
            <a:prstGeom prst="rect">
              <a:avLst/>
            </a:prstGeom>
            <a:solidFill>
              <a:srgbClr val="D0D7E5"/>
            </a:solidFill>
            <a:ln w="9525">
              <a:noFill/>
              <a:miter lim="800000"/>
              <a:headEnd/>
              <a:tailEnd/>
            </a:ln>
          </xdr:spPr>
        </xdr:sp>
        <xdr:sp macro="" textlink="">
          <xdr:nvSpPr>
            <xdr:cNvPr id="2351820" name="Line 179">
              <a:extLst>
                <a:ext uri="{FF2B5EF4-FFF2-40B4-BE49-F238E27FC236}">
                  <a16:creationId xmlns:a16="http://schemas.microsoft.com/office/drawing/2014/main" id="{00000000-0008-0000-0600-0000CCE22300}"/>
                </a:ext>
              </a:extLst>
            </xdr:cNvPr>
            <xdr:cNvSpPr>
              <a:spLocks noChangeShapeType="1"/>
            </xdr:cNvSpPr>
          </xdr:nvSpPr>
          <xdr:spPr bwMode="auto">
            <a:xfrm>
              <a:off x="754" y="2269"/>
              <a:ext cx="1344" cy="1"/>
            </a:xfrm>
            <a:prstGeom prst="line">
              <a:avLst/>
            </a:prstGeom>
            <a:noFill/>
            <a:ln w="0">
              <a:solidFill>
                <a:srgbClr val="000000"/>
              </a:solidFill>
              <a:round/>
              <a:headEnd/>
              <a:tailEnd/>
            </a:ln>
          </xdr:spPr>
        </xdr:sp>
        <xdr:sp macro="" textlink="">
          <xdr:nvSpPr>
            <xdr:cNvPr id="2351821" name="Rectangle 180">
              <a:extLst>
                <a:ext uri="{FF2B5EF4-FFF2-40B4-BE49-F238E27FC236}">
                  <a16:creationId xmlns:a16="http://schemas.microsoft.com/office/drawing/2014/main" id="{00000000-0008-0000-0600-0000CDE22300}"/>
                </a:ext>
              </a:extLst>
            </xdr:cNvPr>
            <xdr:cNvSpPr>
              <a:spLocks noChangeArrowheads="1"/>
            </xdr:cNvSpPr>
          </xdr:nvSpPr>
          <xdr:spPr bwMode="auto">
            <a:xfrm>
              <a:off x="754" y="2269"/>
              <a:ext cx="1344" cy="6"/>
            </a:xfrm>
            <a:prstGeom prst="rect">
              <a:avLst/>
            </a:prstGeom>
            <a:solidFill>
              <a:srgbClr val="000000"/>
            </a:solidFill>
            <a:ln w="9525">
              <a:noFill/>
              <a:miter lim="800000"/>
              <a:headEnd/>
              <a:tailEnd/>
            </a:ln>
          </xdr:spPr>
        </xdr:sp>
        <xdr:sp macro="" textlink="">
          <xdr:nvSpPr>
            <xdr:cNvPr id="2351822" name="Line 181">
              <a:extLst>
                <a:ext uri="{FF2B5EF4-FFF2-40B4-BE49-F238E27FC236}">
                  <a16:creationId xmlns:a16="http://schemas.microsoft.com/office/drawing/2014/main" id="{00000000-0008-0000-0600-0000CEE22300}"/>
                </a:ext>
              </a:extLst>
            </xdr:cNvPr>
            <xdr:cNvSpPr>
              <a:spLocks noChangeShapeType="1"/>
            </xdr:cNvSpPr>
          </xdr:nvSpPr>
          <xdr:spPr bwMode="auto">
            <a:xfrm>
              <a:off x="2092" y="2155"/>
              <a:ext cx="1" cy="114"/>
            </a:xfrm>
            <a:prstGeom prst="line">
              <a:avLst/>
            </a:prstGeom>
            <a:noFill/>
            <a:ln w="0">
              <a:solidFill>
                <a:srgbClr val="D0D7E5"/>
              </a:solidFill>
              <a:round/>
              <a:headEnd/>
              <a:tailEnd/>
            </a:ln>
          </xdr:spPr>
        </xdr:sp>
        <xdr:sp macro="" textlink="">
          <xdr:nvSpPr>
            <xdr:cNvPr id="2351823" name="Rectangle 182">
              <a:extLst>
                <a:ext uri="{FF2B5EF4-FFF2-40B4-BE49-F238E27FC236}">
                  <a16:creationId xmlns:a16="http://schemas.microsoft.com/office/drawing/2014/main" id="{00000000-0008-0000-0600-0000CFE22300}"/>
                </a:ext>
              </a:extLst>
            </xdr:cNvPr>
            <xdr:cNvSpPr>
              <a:spLocks noChangeArrowheads="1"/>
            </xdr:cNvSpPr>
          </xdr:nvSpPr>
          <xdr:spPr bwMode="auto">
            <a:xfrm>
              <a:off x="2092" y="2155"/>
              <a:ext cx="6" cy="114"/>
            </a:xfrm>
            <a:prstGeom prst="rect">
              <a:avLst/>
            </a:prstGeom>
            <a:solidFill>
              <a:srgbClr val="D0D7E5"/>
            </a:solidFill>
            <a:ln w="9525">
              <a:noFill/>
              <a:miter lim="800000"/>
              <a:headEnd/>
              <a:tailEnd/>
            </a:ln>
          </xdr:spPr>
        </xdr:sp>
        <xdr:sp macro="" textlink="">
          <xdr:nvSpPr>
            <xdr:cNvPr id="2351824" name="Line 183">
              <a:extLst>
                <a:ext uri="{FF2B5EF4-FFF2-40B4-BE49-F238E27FC236}">
                  <a16:creationId xmlns:a16="http://schemas.microsoft.com/office/drawing/2014/main" id="{00000000-0008-0000-0600-0000D0E22300}"/>
                </a:ext>
              </a:extLst>
            </xdr:cNvPr>
            <xdr:cNvSpPr>
              <a:spLocks noChangeShapeType="1"/>
            </xdr:cNvSpPr>
          </xdr:nvSpPr>
          <xdr:spPr bwMode="auto">
            <a:xfrm>
              <a:off x="754" y="2395"/>
              <a:ext cx="2022" cy="1"/>
            </a:xfrm>
            <a:prstGeom prst="line">
              <a:avLst/>
            </a:prstGeom>
            <a:noFill/>
            <a:ln w="0">
              <a:solidFill>
                <a:srgbClr val="000000"/>
              </a:solidFill>
              <a:round/>
              <a:headEnd/>
              <a:tailEnd/>
            </a:ln>
          </xdr:spPr>
        </xdr:sp>
        <xdr:sp macro="" textlink="">
          <xdr:nvSpPr>
            <xdr:cNvPr id="2351825" name="Rectangle 184">
              <a:extLst>
                <a:ext uri="{FF2B5EF4-FFF2-40B4-BE49-F238E27FC236}">
                  <a16:creationId xmlns:a16="http://schemas.microsoft.com/office/drawing/2014/main" id="{00000000-0008-0000-0600-0000D1E22300}"/>
                </a:ext>
              </a:extLst>
            </xdr:cNvPr>
            <xdr:cNvSpPr>
              <a:spLocks noChangeArrowheads="1"/>
            </xdr:cNvSpPr>
          </xdr:nvSpPr>
          <xdr:spPr bwMode="auto">
            <a:xfrm>
              <a:off x="754" y="2395"/>
              <a:ext cx="2022" cy="6"/>
            </a:xfrm>
            <a:prstGeom prst="rect">
              <a:avLst/>
            </a:prstGeom>
            <a:solidFill>
              <a:srgbClr val="000000"/>
            </a:solidFill>
            <a:ln w="9525">
              <a:noFill/>
              <a:miter lim="800000"/>
              <a:headEnd/>
              <a:tailEnd/>
            </a:ln>
          </xdr:spPr>
        </xdr:sp>
        <xdr:sp macro="" textlink="">
          <xdr:nvSpPr>
            <xdr:cNvPr id="2351826" name="Line 185">
              <a:extLst>
                <a:ext uri="{FF2B5EF4-FFF2-40B4-BE49-F238E27FC236}">
                  <a16:creationId xmlns:a16="http://schemas.microsoft.com/office/drawing/2014/main" id="{00000000-0008-0000-0600-0000D2E22300}"/>
                </a:ext>
              </a:extLst>
            </xdr:cNvPr>
            <xdr:cNvSpPr>
              <a:spLocks noChangeShapeType="1"/>
            </xdr:cNvSpPr>
          </xdr:nvSpPr>
          <xdr:spPr bwMode="auto">
            <a:xfrm>
              <a:off x="2770" y="2155"/>
              <a:ext cx="1" cy="240"/>
            </a:xfrm>
            <a:prstGeom prst="line">
              <a:avLst/>
            </a:prstGeom>
            <a:noFill/>
            <a:ln w="0">
              <a:solidFill>
                <a:srgbClr val="D0D7E5"/>
              </a:solidFill>
              <a:round/>
              <a:headEnd/>
              <a:tailEnd/>
            </a:ln>
          </xdr:spPr>
        </xdr:sp>
        <xdr:sp macro="" textlink="">
          <xdr:nvSpPr>
            <xdr:cNvPr id="2351827" name="Rectangle 186">
              <a:extLst>
                <a:ext uri="{FF2B5EF4-FFF2-40B4-BE49-F238E27FC236}">
                  <a16:creationId xmlns:a16="http://schemas.microsoft.com/office/drawing/2014/main" id="{00000000-0008-0000-0600-0000D3E22300}"/>
                </a:ext>
              </a:extLst>
            </xdr:cNvPr>
            <xdr:cNvSpPr>
              <a:spLocks noChangeArrowheads="1"/>
            </xdr:cNvSpPr>
          </xdr:nvSpPr>
          <xdr:spPr bwMode="auto">
            <a:xfrm>
              <a:off x="2770" y="2155"/>
              <a:ext cx="6" cy="240"/>
            </a:xfrm>
            <a:prstGeom prst="rect">
              <a:avLst/>
            </a:prstGeom>
            <a:solidFill>
              <a:srgbClr val="D0D7E5"/>
            </a:solidFill>
            <a:ln w="9525">
              <a:noFill/>
              <a:miter lim="800000"/>
              <a:headEnd/>
              <a:tailEnd/>
            </a:ln>
          </xdr:spPr>
        </xdr:sp>
        <xdr:sp macro="" textlink="">
          <xdr:nvSpPr>
            <xdr:cNvPr id="2351828" name="Line 187">
              <a:extLst>
                <a:ext uri="{FF2B5EF4-FFF2-40B4-BE49-F238E27FC236}">
                  <a16:creationId xmlns:a16="http://schemas.microsoft.com/office/drawing/2014/main" id="{00000000-0008-0000-0600-0000D4E22300}"/>
                </a:ext>
              </a:extLst>
            </xdr:cNvPr>
            <xdr:cNvSpPr>
              <a:spLocks noChangeShapeType="1"/>
            </xdr:cNvSpPr>
          </xdr:nvSpPr>
          <xdr:spPr bwMode="auto">
            <a:xfrm>
              <a:off x="2776" y="2395"/>
              <a:ext cx="654" cy="1"/>
            </a:xfrm>
            <a:prstGeom prst="line">
              <a:avLst/>
            </a:prstGeom>
            <a:noFill/>
            <a:ln w="0">
              <a:solidFill>
                <a:srgbClr val="D0D7E5"/>
              </a:solidFill>
              <a:round/>
              <a:headEnd/>
              <a:tailEnd/>
            </a:ln>
          </xdr:spPr>
        </xdr:sp>
        <xdr:sp macro="" textlink="">
          <xdr:nvSpPr>
            <xdr:cNvPr id="2351829" name="Rectangle 188">
              <a:extLst>
                <a:ext uri="{FF2B5EF4-FFF2-40B4-BE49-F238E27FC236}">
                  <a16:creationId xmlns:a16="http://schemas.microsoft.com/office/drawing/2014/main" id="{00000000-0008-0000-0600-0000D5E22300}"/>
                </a:ext>
              </a:extLst>
            </xdr:cNvPr>
            <xdr:cNvSpPr>
              <a:spLocks noChangeArrowheads="1"/>
            </xdr:cNvSpPr>
          </xdr:nvSpPr>
          <xdr:spPr bwMode="auto">
            <a:xfrm>
              <a:off x="2776" y="2401"/>
              <a:ext cx="654" cy="6"/>
            </a:xfrm>
            <a:prstGeom prst="rect">
              <a:avLst/>
            </a:prstGeom>
            <a:solidFill>
              <a:srgbClr val="D0D7E5"/>
            </a:solidFill>
            <a:ln w="9525">
              <a:noFill/>
              <a:miter lim="800000"/>
              <a:headEnd/>
              <a:tailEnd/>
            </a:ln>
          </xdr:spPr>
        </xdr:sp>
        <xdr:sp macro="" textlink="">
          <xdr:nvSpPr>
            <xdr:cNvPr id="2351830" name="Line 189">
              <a:extLst>
                <a:ext uri="{FF2B5EF4-FFF2-40B4-BE49-F238E27FC236}">
                  <a16:creationId xmlns:a16="http://schemas.microsoft.com/office/drawing/2014/main" id="{00000000-0008-0000-0600-0000D6E22300}"/>
                </a:ext>
              </a:extLst>
            </xdr:cNvPr>
            <xdr:cNvSpPr>
              <a:spLocks noChangeShapeType="1"/>
            </xdr:cNvSpPr>
          </xdr:nvSpPr>
          <xdr:spPr bwMode="auto">
            <a:xfrm>
              <a:off x="3430" y="2155"/>
              <a:ext cx="1" cy="240"/>
            </a:xfrm>
            <a:prstGeom prst="line">
              <a:avLst/>
            </a:prstGeom>
            <a:noFill/>
            <a:ln w="0">
              <a:solidFill>
                <a:srgbClr val="D0D7E5"/>
              </a:solidFill>
              <a:round/>
              <a:headEnd/>
              <a:tailEnd/>
            </a:ln>
          </xdr:spPr>
        </xdr:sp>
        <xdr:sp macro="" textlink="">
          <xdr:nvSpPr>
            <xdr:cNvPr id="2351831" name="Rectangle 190">
              <a:extLst>
                <a:ext uri="{FF2B5EF4-FFF2-40B4-BE49-F238E27FC236}">
                  <a16:creationId xmlns:a16="http://schemas.microsoft.com/office/drawing/2014/main" id="{00000000-0008-0000-0600-0000D7E22300}"/>
                </a:ext>
              </a:extLst>
            </xdr:cNvPr>
            <xdr:cNvSpPr>
              <a:spLocks noChangeArrowheads="1"/>
            </xdr:cNvSpPr>
          </xdr:nvSpPr>
          <xdr:spPr bwMode="auto">
            <a:xfrm>
              <a:off x="3430" y="2155"/>
              <a:ext cx="6" cy="240"/>
            </a:xfrm>
            <a:prstGeom prst="rect">
              <a:avLst/>
            </a:prstGeom>
            <a:solidFill>
              <a:srgbClr val="D0D7E5"/>
            </a:solidFill>
            <a:ln w="9525">
              <a:noFill/>
              <a:miter lim="800000"/>
              <a:headEnd/>
              <a:tailEnd/>
            </a:ln>
          </xdr:spPr>
        </xdr:sp>
        <xdr:sp macro="" textlink="">
          <xdr:nvSpPr>
            <xdr:cNvPr id="2351832" name="Line 191">
              <a:extLst>
                <a:ext uri="{FF2B5EF4-FFF2-40B4-BE49-F238E27FC236}">
                  <a16:creationId xmlns:a16="http://schemas.microsoft.com/office/drawing/2014/main" id="{00000000-0008-0000-0600-0000D8E22300}"/>
                </a:ext>
              </a:extLst>
            </xdr:cNvPr>
            <xdr:cNvSpPr>
              <a:spLocks noChangeShapeType="1"/>
            </xdr:cNvSpPr>
          </xdr:nvSpPr>
          <xdr:spPr bwMode="auto">
            <a:xfrm>
              <a:off x="3436" y="2395"/>
              <a:ext cx="1782" cy="1"/>
            </a:xfrm>
            <a:prstGeom prst="line">
              <a:avLst/>
            </a:prstGeom>
            <a:noFill/>
            <a:ln w="0">
              <a:solidFill>
                <a:srgbClr val="000000"/>
              </a:solidFill>
              <a:round/>
              <a:headEnd/>
              <a:tailEnd/>
            </a:ln>
          </xdr:spPr>
        </xdr:sp>
        <xdr:sp macro="" textlink="">
          <xdr:nvSpPr>
            <xdr:cNvPr id="2351833" name="Rectangle 192">
              <a:extLst>
                <a:ext uri="{FF2B5EF4-FFF2-40B4-BE49-F238E27FC236}">
                  <a16:creationId xmlns:a16="http://schemas.microsoft.com/office/drawing/2014/main" id="{00000000-0008-0000-0600-0000D9E22300}"/>
                </a:ext>
              </a:extLst>
            </xdr:cNvPr>
            <xdr:cNvSpPr>
              <a:spLocks noChangeArrowheads="1"/>
            </xdr:cNvSpPr>
          </xdr:nvSpPr>
          <xdr:spPr bwMode="auto">
            <a:xfrm>
              <a:off x="3436" y="2395"/>
              <a:ext cx="1782" cy="6"/>
            </a:xfrm>
            <a:prstGeom prst="rect">
              <a:avLst/>
            </a:prstGeom>
            <a:solidFill>
              <a:srgbClr val="000000"/>
            </a:solidFill>
            <a:ln w="9525">
              <a:noFill/>
              <a:miter lim="800000"/>
              <a:headEnd/>
              <a:tailEnd/>
            </a:ln>
          </xdr:spPr>
        </xdr:sp>
        <xdr:sp macro="" textlink="">
          <xdr:nvSpPr>
            <xdr:cNvPr id="2351834" name="Line 193">
              <a:extLst>
                <a:ext uri="{FF2B5EF4-FFF2-40B4-BE49-F238E27FC236}">
                  <a16:creationId xmlns:a16="http://schemas.microsoft.com/office/drawing/2014/main" id="{00000000-0008-0000-0600-0000DAE22300}"/>
                </a:ext>
              </a:extLst>
            </xdr:cNvPr>
            <xdr:cNvSpPr>
              <a:spLocks noChangeShapeType="1"/>
            </xdr:cNvSpPr>
          </xdr:nvSpPr>
          <xdr:spPr bwMode="auto">
            <a:xfrm>
              <a:off x="5212" y="2155"/>
              <a:ext cx="1" cy="240"/>
            </a:xfrm>
            <a:prstGeom prst="line">
              <a:avLst/>
            </a:prstGeom>
            <a:noFill/>
            <a:ln w="0">
              <a:solidFill>
                <a:srgbClr val="D0D7E5"/>
              </a:solidFill>
              <a:round/>
              <a:headEnd/>
              <a:tailEnd/>
            </a:ln>
          </xdr:spPr>
        </xdr:sp>
        <xdr:sp macro="" textlink="">
          <xdr:nvSpPr>
            <xdr:cNvPr id="2351835" name="Rectangle 194">
              <a:extLst>
                <a:ext uri="{FF2B5EF4-FFF2-40B4-BE49-F238E27FC236}">
                  <a16:creationId xmlns:a16="http://schemas.microsoft.com/office/drawing/2014/main" id="{00000000-0008-0000-0600-0000DBE22300}"/>
                </a:ext>
              </a:extLst>
            </xdr:cNvPr>
            <xdr:cNvSpPr>
              <a:spLocks noChangeArrowheads="1"/>
            </xdr:cNvSpPr>
          </xdr:nvSpPr>
          <xdr:spPr bwMode="auto">
            <a:xfrm>
              <a:off x="5212" y="2155"/>
              <a:ext cx="6" cy="240"/>
            </a:xfrm>
            <a:prstGeom prst="rect">
              <a:avLst/>
            </a:prstGeom>
            <a:solidFill>
              <a:srgbClr val="D0D7E5"/>
            </a:solidFill>
            <a:ln w="9525">
              <a:noFill/>
              <a:miter lim="800000"/>
              <a:headEnd/>
              <a:tailEnd/>
            </a:ln>
          </xdr:spPr>
        </xdr:sp>
        <xdr:sp macro="" textlink="">
          <xdr:nvSpPr>
            <xdr:cNvPr id="2351836" name="Line 195">
              <a:extLst>
                <a:ext uri="{FF2B5EF4-FFF2-40B4-BE49-F238E27FC236}">
                  <a16:creationId xmlns:a16="http://schemas.microsoft.com/office/drawing/2014/main" id="{00000000-0008-0000-0600-0000DCE22300}"/>
                </a:ext>
              </a:extLst>
            </xdr:cNvPr>
            <xdr:cNvSpPr>
              <a:spLocks noChangeShapeType="1"/>
            </xdr:cNvSpPr>
          </xdr:nvSpPr>
          <xdr:spPr bwMode="auto">
            <a:xfrm>
              <a:off x="754" y="2515"/>
              <a:ext cx="2022" cy="1"/>
            </a:xfrm>
            <a:prstGeom prst="line">
              <a:avLst/>
            </a:prstGeom>
            <a:noFill/>
            <a:ln w="0">
              <a:solidFill>
                <a:srgbClr val="000000"/>
              </a:solidFill>
              <a:round/>
              <a:headEnd/>
              <a:tailEnd/>
            </a:ln>
          </xdr:spPr>
        </xdr:sp>
        <xdr:sp macro="" textlink="">
          <xdr:nvSpPr>
            <xdr:cNvPr id="2351837" name="Rectangle 196">
              <a:extLst>
                <a:ext uri="{FF2B5EF4-FFF2-40B4-BE49-F238E27FC236}">
                  <a16:creationId xmlns:a16="http://schemas.microsoft.com/office/drawing/2014/main" id="{00000000-0008-0000-0600-0000DDE22300}"/>
                </a:ext>
              </a:extLst>
            </xdr:cNvPr>
            <xdr:cNvSpPr>
              <a:spLocks noChangeArrowheads="1"/>
            </xdr:cNvSpPr>
          </xdr:nvSpPr>
          <xdr:spPr bwMode="auto">
            <a:xfrm>
              <a:off x="754" y="2515"/>
              <a:ext cx="2022" cy="6"/>
            </a:xfrm>
            <a:prstGeom prst="rect">
              <a:avLst/>
            </a:prstGeom>
            <a:solidFill>
              <a:srgbClr val="000000"/>
            </a:solidFill>
            <a:ln w="9525">
              <a:noFill/>
              <a:miter lim="800000"/>
              <a:headEnd/>
              <a:tailEnd/>
            </a:ln>
          </xdr:spPr>
        </xdr:sp>
        <xdr:sp macro="" textlink="">
          <xdr:nvSpPr>
            <xdr:cNvPr id="2351838" name="Line 197">
              <a:extLst>
                <a:ext uri="{FF2B5EF4-FFF2-40B4-BE49-F238E27FC236}">
                  <a16:creationId xmlns:a16="http://schemas.microsoft.com/office/drawing/2014/main" id="{00000000-0008-0000-0600-0000DEE22300}"/>
                </a:ext>
              </a:extLst>
            </xdr:cNvPr>
            <xdr:cNvSpPr>
              <a:spLocks noChangeShapeType="1"/>
            </xdr:cNvSpPr>
          </xdr:nvSpPr>
          <xdr:spPr bwMode="auto">
            <a:xfrm>
              <a:off x="2776" y="2515"/>
              <a:ext cx="654" cy="1"/>
            </a:xfrm>
            <a:prstGeom prst="line">
              <a:avLst/>
            </a:prstGeom>
            <a:noFill/>
            <a:ln w="0">
              <a:solidFill>
                <a:srgbClr val="D0D7E5"/>
              </a:solidFill>
              <a:round/>
              <a:headEnd/>
              <a:tailEnd/>
            </a:ln>
          </xdr:spPr>
        </xdr:sp>
        <xdr:sp macro="" textlink="">
          <xdr:nvSpPr>
            <xdr:cNvPr id="2351839" name="Rectangle 198">
              <a:extLst>
                <a:ext uri="{FF2B5EF4-FFF2-40B4-BE49-F238E27FC236}">
                  <a16:creationId xmlns:a16="http://schemas.microsoft.com/office/drawing/2014/main" id="{00000000-0008-0000-0600-0000DFE22300}"/>
                </a:ext>
              </a:extLst>
            </xdr:cNvPr>
            <xdr:cNvSpPr>
              <a:spLocks noChangeArrowheads="1"/>
            </xdr:cNvSpPr>
          </xdr:nvSpPr>
          <xdr:spPr bwMode="auto">
            <a:xfrm>
              <a:off x="2776" y="2515"/>
              <a:ext cx="654" cy="6"/>
            </a:xfrm>
            <a:prstGeom prst="rect">
              <a:avLst/>
            </a:prstGeom>
            <a:solidFill>
              <a:srgbClr val="D0D7E5"/>
            </a:solidFill>
            <a:ln w="9525">
              <a:noFill/>
              <a:miter lim="800000"/>
              <a:headEnd/>
              <a:tailEnd/>
            </a:ln>
          </xdr:spPr>
        </xdr:sp>
        <xdr:sp macro="" textlink="">
          <xdr:nvSpPr>
            <xdr:cNvPr id="2351840" name="Line 199">
              <a:extLst>
                <a:ext uri="{FF2B5EF4-FFF2-40B4-BE49-F238E27FC236}">
                  <a16:creationId xmlns:a16="http://schemas.microsoft.com/office/drawing/2014/main" id="{00000000-0008-0000-0600-0000E0E22300}"/>
                </a:ext>
              </a:extLst>
            </xdr:cNvPr>
            <xdr:cNvSpPr>
              <a:spLocks noChangeShapeType="1"/>
            </xdr:cNvSpPr>
          </xdr:nvSpPr>
          <xdr:spPr bwMode="auto">
            <a:xfrm>
              <a:off x="3436" y="2515"/>
              <a:ext cx="1782" cy="1"/>
            </a:xfrm>
            <a:prstGeom prst="line">
              <a:avLst/>
            </a:prstGeom>
            <a:noFill/>
            <a:ln w="0">
              <a:solidFill>
                <a:srgbClr val="000000"/>
              </a:solidFill>
              <a:round/>
              <a:headEnd/>
              <a:tailEnd/>
            </a:ln>
          </xdr:spPr>
        </xdr:sp>
        <xdr:sp macro="" textlink="">
          <xdr:nvSpPr>
            <xdr:cNvPr id="2351841" name="Rectangle 200">
              <a:extLst>
                <a:ext uri="{FF2B5EF4-FFF2-40B4-BE49-F238E27FC236}">
                  <a16:creationId xmlns:a16="http://schemas.microsoft.com/office/drawing/2014/main" id="{00000000-0008-0000-0600-0000E1E22300}"/>
                </a:ext>
              </a:extLst>
            </xdr:cNvPr>
            <xdr:cNvSpPr>
              <a:spLocks noChangeArrowheads="1"/>
            </xdr:cNvSpPr>
          </xdr:nvSpPr>
          <xdr:spPr bwMode="auto">
            <a:xfrm>
              <a:off x="3436" y="2515"/>
              <a:ext cx="1782" cy="6"/>
            </a:xfrm>
            <a:prstGeom prst="rect">
              <a:avLst/>
            </a:prstGeom>
            <a:solidFill>
              <a:srgbClr val="000000"/>
            </a:solidFill>
            <a:ln w="9525">
              <a:noFill/>
              <a:miter lim="800000"/>
              <a:headEnd/>
              <a:tailEnd/>
            </a:ln>
          </xdr:spPr>
        </xdr:sp>
        <xdr:sp macro="" textlink="">
          <xdr:nvSpPr>
            <xdr:cNvPr id="2351842" name="Line 201">
              <a:extLst>
                <a:ext uri="{FF2B5EF4-FFF2-40B4-BE49-F238E27FC236}">
                  <a16:creationId xmlns:a16="http://schemas.microsoft.com/office/drawing/2014/main" id="{00000000-0008-0000-0600-0000E2E22300}"/>
                </a:ext>
              </a:extLst>
            </xdr:cNvPr>
            <xdr:cNvSpPr>
              <a:spLocks noChangeShapeType="1"/>
            </xdr:cNvSpPr>
          </xdr:nvSpPr>
          <xdr:spPr bwMode="auto">
            <a:xfrm>
              <a:off x="754" y="2635"/>
              <a:ext cx="2022" cy="1"/>
            </a:xfrm>
            <a:prstGeom prst="line">
              <a:avLst/>
            </a:prstGeom>
            <a:noFill/>
            <a:ln w="0">
              <a:solidFill>
                <a:srgbClr val="000000"/>
              </a:solidFill>
              <a:round/>
              <a:headEnd/>
              <a:tailEnd/>
            </a:ln>
          </xdr:spPr>
        </xdr:sp>
        <xdr:sp macro="" textlink="">
          <xdr:nvSpPr>
            <xdr:cNvPr id="2351843" name="Rectangle 202">
              <a:extLst>
                <a:ext uri="{FF2B5EF4-FFF2-40B4-BE49-F238E27FC236}">
                  <a16:creationId xmlns:a16="http://schemas.microsoft.com/office/drawing/2014/main" id="{00000000-0008-0000-0600-0000E3E22300}"/>
                </a:ext>
              </a:extLst>
            </xdr:cNvPr>
            <xdr:cNvSpPr>
              <a:spLocks noChangeArrowheads="1"/>
            </xdr:cNvSpPr>
          </xdr:nvSpPr>
          <xdr:spPr bwMode="auto">
            <a:xfrm>
              <a:off x="754" y="2635"/>
              <a:ext cx="2022" cy="6"/>
            </a:xfrm>
            <a:prstGeom prst="rect">
              <a:avLst/>
            </a:prstGeom>
            <a:solidFill>
              <a:srgbClr val="000000"/>
            </a:solidFill>
            <a:ln w="9525">
              <a:noFill/>
              <a:miter lim="800000"/>
              <a:headEnd/>
              <a:tailEnd/>
            </a:ln>
          </xdr:spPr>
        </xdr:sp>
        <xdr:sp macro="" textlink="">
          <xdr:nvSpPr>
            <xdr:cNvPr id="2351844" name="Line 203">
              <a:extLst>
                <a:ext uri="{FF2B5EF4-FFF2-40B4-BE49-F238E27FC236}">
                  <a16:creationId xmlns:a16="http://schemas.microsoft.com/office/drawing/2014/main" id="{00000000-0008-0000-0600-0000E4E22300}"/>
                </a:ext>
              </a:extLst>
            </xdr:cNvPr>
            <xdr:cNvSpPr>
              <a:spLocks noChangeShapeType="1"/>
            </xdr:cNvSpPr>
          </xdr:nvSpPr>
          <xdr:spPr bwMode="auto">
            <a:xfrm>
              <a:off x="2776" y="2635"/>
              <a:ext cx="654" cy="1"/>
            </a:xfrm>
            <a:prstGeom prst="line">
              <a:avLst/>
            </a:prstGeom>
            <a:noFill/>
            <a:ln w="0">
              <a:solidFill>
                <a:srgbClr val="D0D7E5"/>
              </a:solidFill>
              <a:round/>
              <a:headEnd/>
              <a:tailEnd/>
            </a:ln>
          </xdr:spPr>
        </xdr:sp>
        <xdr:sp macro="" textlink="">
          <xdr:nvSpPr>
            <xdr:cNvPr id="2351845" name="Rectangle 204">
              <a:extLst>
                <a:ext uri="{FF2B5EF4-FFF2-40B4-BE49-F238E27FC236}">
                  <a16:creationId xmlns:a16="http://schemas.microsoft.com/office/drawing/2014/main" id="{00000000-0008-0000-0600-0000E5E22300}"/>
                </a:ext>
              </a:extLst>
            </xdr:cNvPr>
            <xdr:cNvSpPr>
              <a:spLocks noChangeArrowheads="1"/>
            </xdr:cNvSpPr>
          </xdr:nvSpPr>
          <xdr:spPr bwMode="auto">
            <a:xfrm>
              <a:off x="2776" y="2635"/>
              <a:ext cx="654" cy="6"/>
            </a:xfrm>
            <a:prstGeom prst="rect">
              <a:avLst/>
            </a:prstGeom>
            <a:solidFill>
              <a:srgbClr val="D0D7E5"/>
            </a:solidFill>
            <a:ln w="9525">
              <a:noFill/>
              <a:miter lim="800000"/>
              <a:headEnd/>
              <a:tailEnd/>
            </a:ln>
          </xdr:spPr>
        </xdr:sp>
        <xdr:sp macro="" textlink="">
          <xdr:nvSpPr>
            <xdr:cNvPr id="2351846" name="Line 205">
              <a:extLst>
                <a:ext uri="{FF2B5EF4-FFF2-40B4-BE49-F238E27FC236}">
                  <a16:creationId xmlns:a16="http://schemas.microsoft.com/office/drawing/2014/main" id="{00000000-0008-0000-0600-0000E6E22300}"/>
                </a:ext>
              </a:extLst>
            </xdr:cNvPr>
            <xdr:cNvSpPr>
              <a:spLocks noChangeShapeType="1"/>
            </xdr:cNvSpPr>
          </xdr:nvSpPr>
          <xdr:spPr bwMode="auto">
            <a:xfrm>
              <a:off x="3436" y="2635"/>
              <a:ext cx="1782" cy="1"/>
            </a:xfrm>
            <a:prstGeom prst="line">
              <a:avLst/>
            </a:prstGeom>
            <a:noFill/>
            <a:ln w="0">
              <a:solidFill>
                <a:srgbClr val="000000"/>
              </a:solidFill>
              <a:round/>
              <a:headEnd/>
              <a:tailEnd/>
            </a:ln>
          </xdr:spPr>
        </xdr:sp>
        <xdr:sp macro="" textlink="">
          <xdr:nvSpPr>
            <xdr:cNvPr id="2351847" name="Rectangle 206">
              <a:extLst>
                <a:ext uri="{FF2B5EF4-FFF2-40B4-BE49-F238E27FC236}">
                  <a16:creationId xmlns:a16="http://schemas.microsoft.com/office/drawing/2014/main" id="{00000000-0008-0000-0600-0000E7E22300}"/>
                </a:ext>
              </a:extLst>
            </xdr:cNvPr>
            <xdr:cNvSpPr>
              <a:spLocks noChangeArrowheads="1"/>
            </xdr:cNvSpPr>
          </xdr:nvSpPr>
          <xdr:spPr bwMode="auto">
            <a:xfrm>
              <a:off x="3436" y="2635"/>
              <a:ext cx="1782" cy="6"/>
            </a:xfrm>
            <a:prstGeom prst="rect">
              <a:avLst/>
            </a:prstGeom>
            <a:solidFill>
              <a:srgbClr val="000000"/>
            </a:solidFill>
            <a:ln w="9525">
              <a:noFill/>
              <a:miter lim="800000"/>
              <a:headEnd/>
              <a:tailEnd/>
            </a:ln>
          </xdr:spPr>
        </xdr:sp>
        <xdr:sp macro="" textlink="">
          <xdr:nvSpPr>
            <xdr:cNvPr id="2351848" name="Line 207">
              <a:extLst>
                <a:ext uri="{FF2B5EF4-FFF2-40B4-BE49-F238E27FC236}">
                  <a16:creationId xmlns:a16="http://schemas.microsoft.com/office/drawing/2014/main" id="{00000000-0008-0000-0600-0000E8E22300}"/>
                </a:ext>
              </a:extLst>
            </xdr:cNvPr>
            <xdr:cNvSpPr>
              <a:spLocks noChangeShapeType="1"/>
            </xdr:cNvSpPr>
          </xdr:nvSpPr>
          <xdr:spPr bwMode="auto">
            <a:xfrm>
              <a:off x="754" y="2755"/>
              <a:ext cx="2022" cy="1"/>
            </a:xfrm>
            <a:prstGeom prst="line">
              <a:avLst/>
            </a:prstGeom>
            <a:noFill/>
            <a:ln w="0">
              <a:solidFill>
                <a:srgbClr val="000000"/>
              </a:solidFill>
              <a:round/>
              <a:headEnd/>
              <a:tailEnd/>
            </a:ln>
          </xdr:spPr>
        </xdr:sp>
      </xdr:grpSp>
      <xdr:sp macro="" textlink="">
        <xdr:nvSpPr>
          <xdr:cNvPr id="2351509" name="Rectangle 209">
            <a:extLst>
              <a:ext uri="{FF2B5EF4-FFF2-40B4-BE49-F238E27FC236}">
                <a16:creationId xmlns:a16="http://schemas.microsoft.com/office/drawing/2014/main" id="{00000000-0008-0000-0600-000095E12300}"/>
              </a:ext>
            </a:extLst>
          </xdr:cNvPr>
          <xdr:cNvSpPr>
            <a:spLocks noChangeArrowheads="1"/>
          </xdr:cNvSpPr>
        </xdr:nvSpPr>
        <xdr:spPr bwMode="auto">
          <a:xfrm>
            <a:off x="754" y="2755"/>
            <a:ext cx="2022" cy="6"/>
          </a:xfrm>
          <a:prstGeom prst="rect">
            <a:avLst/>
          </a:prstGeom>
          <a:solidFill>
            <a:srgbClr val="000000"/>
          </a:solidFill>
          <a:ln w="9525">
            <a:noFill/>
            <a:miter lim="800000"/>
            <a:headEnd/>
            <a:tailEnd/>
          </a:ln>
        </xdr:spPr>
      </xdr:sp>
      <xdr:sp macro="" textlink="">
        <xdr:nvSpPr>
          <xdr:cNvPr id="2351510" name="Line 210">
            <a:extLst>
              <a:ext uri="{FF2B5EF4-FFF2-40B4-BE49-F238E27FC236}">
                <a16:creationId xmlns:a16="http://schemas.microsoft.com/office/drawing/2014/main" id="{00000000-0008-0000-0600-000096E12300}"/>
              </a:ext>
            </a:extLst>
          </xdr:cNvPr>
          <xdr:cNvSpPr>
            <a:spLocks noChangeShapeType="1"/>
          </xdr:cNvSpPr>
        </xdr:nvSpPr>
        <xdr:spPr bwMode="auto">
          <a:xfrm>
            <a:off x="2776" y="2755"/>
            <a:ext cx="654" cy="1"/>
          </a:xfrm>
          <a:prstGeom prst="line">
            <a:avLst/>
          </a:prstGeom>
          <a:noFill/>
          <a:ln w="0">
            <a:solidFill>
              <a:srgbClr val="D0D7E5"/>
            </a:solidFill>
            <a:round/>
            <a:headEnd/>
            <a:tailEnd/>
          </a:ln>
        </xdr:spPr>
      </xdr:sp>
      <xdr:sp macro="" textlink="">
        <xdr:nvSpPr>
          <xdr:cNvPr id="2351511" name="Rectangle 211">
            <a:extLst>
              <a:ext uri="{FF2B5EF4-FFF2-40B4-BE49-F238E27FC236}">
                <a16:creationId xmlns:a16="http://schemas.microsoft.com/office/drawing/2014/main" id="{00000000-0008-0000-0600-000097E12300}"/>
              </a:ext>
            </a:extLst>
          </xdr:cNvPr>
          <xdr:cNvSpPr>
            <a:spLocks noChangeArrowheads="1"/>
          </xdr:cNvSpPr>
        </xdr:nvSpPr>
        <xdr:spPr bwMode="auto">
          <a:xfrm>
            <a:off x="2776" y="2755"/>
            <a:ext cx="654" cy="6"/>
          </a:xfrm>
          <a:prstGeom prst="rect">
            <a:avLst/>
          </a:prstGeom>
          <a:solidFill>
            <a:srgbClr val="D0D7E5"/>
          </a:solidFill>
          <a:ln w="9525">
            <a:noFill/>
            <a:miter lim="800000"/>
            <a:headEnd/>
            <a:tailEnd/>
          </a:ln>
        </xdr:spPr>
      </xdr:sp>
      <xdr:sp macro="" textlink="">
        <xdr:nvSpPr>
          <xdr:cNvPr id="2351512" name="Line 212">
            <a:extLst>
              <a:ext uri="{FF2B5EF4-FFF2-40B4-BE49-F238E27FC236}">
                <a16:creationId xmlns:a16="http://schemas.microsoft.com/office/drawing/2014/main" id="{00000000-0008-0000-0600-000098E12300}"/>
              </a:ext>
            </a:extLst>
          </xdr:cNvPr>
          <xdr:cNvSpPr>
            <a:spLocks noChangeShapeType="1"/>
          </xdr:cNvSpPr>
        </xdr:nvSpPr>
        <xdr:spPr bwMode="auto">
          <a:xfrm>
            <a:off x="3436" y="2755"/>
            <a:ext cx="1782" cy="1"/>
          </a:xfrm>
          <a:prstGeom prst="line">
            <a:avLst/>
          </a:prstGeom>
          <a:noFill/>
          <a:ln w="0">
            <a:solidFill>
              <a:srgbClr val="000000"/>
            </a:solidFill>
            <a:round/>
            <a:headEnd/>
            <a:tailEnd/>
          </a:ln>
        </xdr:spPr>
      </xdr:sp>
      <xdr:sp macro="" textlink="">
        <xdr:nvSpPr>
          <xdr:cNvPr id="2351513" name="Rectangle 213">
            <a:extLst>
              <a:ext uri="{FF2B5EF4-FFF2-40B4-BE49-F238E27FC236}">
                <a16:creationId xmlns:a16="http://schemas.microsoft.com/office/drawing/2014/main" id="{00000000-0008-0000-0600-000099E12300}"/>
              </a:ext>
            </a:extLst>
          </xdr:cNvPr>
          <xdr:cNvSpPr>
            <a:spLocks noChangeArrowheads="1"/>
          </xdr:cNvSpPr>
        </xdr:nvSpPr>
        <xdr:spPr bwMode="auto">
          <a:xfrm>
            <a:off x="3436" y="2755"/>
            <a:ext cx="1782" cy="6"/>
          </a:xfrm>
          <a:prstGeom prst="rect">
            <a:avLst/>
          </a:prstGeom>
          <a:solidFill>
            <a:srgbClr val="000000"/>
          </a:solidFill>
          <a:ln w="9525">
            <a:noFill/>
            <a:miter lim="800000"/>
            <a:headEnd/>
            <a:tailEnd/>
          </a:ln>
        </xdr:spPr>
      </xdr:sp>
      <xdr:sp macro="" textlink="">
        <xdr:nvSpPr>
          <xdr:cNvPr id="2351514" name="Line 214">
            <a:extLst>
              <a:ext uri="{FF2B5EF4-FFF2-40B4-BE49-F238E27FC236}">
                <a16:creationId xmlns:a16="http://schemas.microsoft.com/office/drawing/2014/main" id="{00000000-0008-0000-0600-00009AE12300}"/>
              </a:ext>
            </a:extLst>
          </xdr:cNvPr>
          <xdr:cNvSpPr>
            <a:spLocks noChangeShapeType="1"/>
          </xdr:cNvSpPr>
        </xdr:nvSpPr>
        <xdr:spPr bwMode="auto">
          <a:xfrm>
            <a:off x="754" y="2875"/>
            <a:ext cx="2022" cy="1"/>
          </a:xfrm>
          <a:prstGeom prst="line">
            <a:avLst/>
          </a:prstGeom>
          <a:noFill/>
          <a:ln w="0">
            <a:solidFill>
              <a:srgbClr val="000000"/>
            </a:solidFill>
            <a:round/>
            <a:headEnd/>
            <a:tailEnd/>
          </a:ln>
        </xdr:spPr>
      </xdr:sp>
      <xdr:sp macro="" textlink="">
        <xdr:nvSpPr>
          <xdr:cNvPr id="2351515" name="Rectangle 215">
            <a:extLst>
              <a:ext uri="{FF2B5EF4-FFF2-40B4-BE49-F238E27FC236}">
                <a16:creationId xmlns:a16="http://schemas.microsoft.com/office/drawing/2014/main" id="{00000000-0008-0000-0600-00009BE12300}"/>
              </a:ext>
            </a:extLst>
          </xdr:cNvPr>
          <xdr:cNvSpPr>
            <a:spLocks noChangeArrowheads="1"/>
          </xdr:cNvSpPr>
        </xdr:nvSpPr>
        <xdr:spPr bwMode="auto">
          <a:xfrm>
            <a:off x="754" y="2875"/>
            <a:ext cx="2022" cy="6"/>
          </a:xfrm>
          <a:prstGeom prst="rect">
            <a:avLst/>
          </a:prstGeom>
          <a:solidFill>
            <a:srgbClr val="000000"/>
          </a:solidFill>
          <a:ln w="9525">
            <a:noFill/>
            <a:miter lim="800000"/>
            <a:headEnd/>
            <a:tailEnd/>
          </a:ln>
        </xdr:spPr>
      </xdr:sp>
      <xdr:sp macro="" textlink="">
        <xdr:nvSpPr>
          <xdr:cNvPr id="2351516" name="Line 216">
            <a:extLst>
              <a:ext uri="{FF2B5EF4-FFF2-40B4-BE49-F238E27FC236}">
                <a16:creationId xmlns:a16="http://schemas.microsoft.com/office/drawing/2014/main" id="{00000000-0008-0000-0600-00009CE12300}"/>
              </a:ext>
            </a:extLst>
          </xdr:cNvPr>
          <xdr:cNvSpPr>
            <a:spLocks noChangeShapeType="1"/>
          </xdr:cNvSpPr>
        </xdr:nvSpPr>
        <xdr:spPr bwMode="auto">
          <a:xfrm>
            <a:off x="2776" y="2875"/>
            <a:ext cx="654" cy="1"/>
          </a:xfrm>
          <a:prstGeom prst="line">
            <a:avLst/>
          </a:prstGeom>
          <a:noFill/>
          <a:ln w="0">
            <a:solidFill>
              <a:srgbClr val="D0D7E5"/>
            </a:solidFill>
            <a:round/>
            <a:headEnd/>
            <a:tailEnd/>
          </a:ln>
        </xdr:spPr>
      </xdr:sp>
      <xdr:sp macro="" textlink="">
        <xdr:nvSpPr>
          <xdr:cNvPr id="2351517" name="Rectangle 217">
            <a:extLst>
              <a:ext uri="{FF2B5EF4-FFF2-40B4-BE49-F238E27FC236}">
                <a16:creationId xmlns:a16="http://schemas.microsoft.com/office/drawing/2014/main" id="{00000000-0008-0000-0600-00009DE12300}"/>
              </a:ext>
            </a:extLst>
          </xdr:cNvPr>
          <xdr:cNvSpPr>
            <a:spLocks noChangeArrowheads="1"/>
          </xdr:cNvSpPr>
        </xdr:nvSpPr>
        <xdr:spPr bwMode="auto">
          <a:xfrm>
            <a:off x="2776" y="2875"/>
            <a:ext cx="654" cy="6"/>
          </a:xfrm>
          <a:prstGeom prst="rect">
            <a:avLst/>
          </a:prstGeom>
          <a:solidFill>
            <a:srgbClr val="D0D7E5"/>
          </a:solidFill>
          <a:ln w="9525">
            <a:noFill/>
            <a:miter lim="800000"/>
            <a:headEnd/>
            <a:tailEnd/>
          </a:ln>
        </xdr:spPr>
      </xdr:sp>
      <xdr:sp macro="" textlink="">
        <xdr:nvSpPr>
          <xdr:cNvPr id="2351518" name="Line 218">
            <a:extLst>
              <a:ext uri="{FF2B5EF4-FFF2-40B4-BE49-F238E27FC236}">
                <a16:creationId xmlns:a16="http://schemas.microsoft.com/office/drawing/2014/main" id="{00000000-0008-0000-0600-00009EE12300}"/>
              </a:ext>
            </a:extLst>
          </xdr:cNvPr>
          <xdr:cNvSpPr>
            <a:spLocks noChangeShapeType="1"/>
          </xdr:cNvSpPr>
        </xdr:nvSpPr>
        <xdr:spPr bwMode="auto">
          <a:xfrm>
            <a:off x="3436" y="2875"/>
            <a:ext cx="1782" cy="1"/>
          </a:xfrm>
          <a:prstGeom prst="line">
            <a:avLst/>
          </a:prstGeom>
          <a:noFill/>
          <a:ln w="0">
            <a:solidFill>
              <a:srgbClr val="000000"/>
            </a:solidFill>
            <a:round/>
            <a:headEnd/>
            <a:tailEnd/>
          </a:ln>
        </xdr:spPr>
      </xdr:sp>
      <xdr:sp macro="" textlink="">
        <xdr:nvSpPr>
          <xdr:cNvPr id="2351519" name="Rectangle 219">
            <a:extLst>
              <a:ext uri="{FF2B5EF4-FFF2-40B4-BE49-F238E27FC236}">
                <a16:creationId xmlns:a16="http://schemas.microsoft.com/office/drawing/2014/main" id="{00000000-0008-0000-0600-00009FE12300}"/>
              </a:ext>
            </a:extLst>
          </xdr:cNvPr>
          <xdr:cNvSpPr>
            <a:spLocks noChangeArrowheads="1"/>
          </xdr:cNvSpPr>
        </xdr:nvSpPr>
        <xdr:spPr bwMode="auto">
          <a:xfrm>
            <a:off x="3436" y="2875"/>
            <a:ext cx="1782" cy="6"/>
          </a:xfrm>
          <a:prstGeom prst="rect">
            <a:avLst/>
          </a:prstGeom>
          <a:solidFill>
            <a:srgbClr val="000000"/>
          </a:solidFill>
          <a:ln w="9525">
            <a:noFill/>
            <a:miter lim="800000"/>
            <a:headEnd/>
            <a:tailEnd/>
          </a:ln>
        </xdr:spPr>
      </xdr:sp>
      <xdr:sp macro="" textlink="">
        <xdr:nvSpPr>
          <xdr:cNvPr id="2351520" name="Line 220">
            <a:extLst>
              <a:ext uri="{FF2B5EF4-FFF2-40B4-BE49-F238E27FC236}">
                <a16:creationId xmlns:a16="http://schemas.microsoft.com/office/drawing/2014/main" id="{00000000-0008-0000-0600-0000A0E12300}"/>
              </a:ext>
            </a:extLst>
          </xdr:cNvPr>
          <xdr:cNvSpPr>
            <a:spLocks noChangeShapeType="1"/>
          </xdr:cNvSpPr>
        </xdr:nvSpPr>
        <xdr:spPr bwMode="auto">
          <a:xfrm>
            <a:off x="754" y="2995"/>
            <a:ext cx="2022" cy="1"/>
          </a:xfrm>
          <a:prstGeom prst="line">
            <a:avLst/>
          </a:prstGeom>
          <a:noFill/>
          <a:ln w="0">
            <a:solidFill>
              <a:srgbClr val="000000"/>
            </a:solidFill>
            <a:round/>
            <a:headEnd/>
            <a:tailEnd/>
          </a:ln>
        </xdr:spPr>
      </xdr:sp>
      <xdr:sp macro="" textlink="">
        <xdr:nvSpPr>
          <xdr:cNvPr id="2351521" name="Rectangle 221">
            <a:extLst>
              <a:ext uri="{FF2B5EF4-FFF2-40B4-BE49-F238E27FC236}">
                <a16:creationId xmlns:a16="http://schemas.microsoft.com/office/drawing/2014/main" id="{00000000-0008-0000-0600-0000A1E12300}"/>
              </a:ext>
            </a:extLst>
          </xdr:cNvPr>
          <xdr:cNvSpPr>
            <a:spLocks noChangeArrowheads="1"/>
          </xdr:cNvSpPr>
        </xdr:nvSpPr>
        <xdr:spPr bwMode="auto">
          <a:xfrm>
            <a:off x="754" y="2995"/>
            <a:ext cx="2022" cy="6"/>
          </a:xfrm>
          <a:prstGeom prst="rect">
            <a:avLst/>
          </a:prstGeom>
          <a:solidFill>
            <a:srgbClr val="000000"/>
          </a:solidFill>
          <a:ln w="9525">
            <a:noFill/>
            <a:miter lim="800000"/>
            <a:headEnd/>
            <a:tailEnd/>
          </a:ln>
        </xdr:spPr>
      </xdr:sp>
      <xdr:sp macro="" textlink="">
        <xdr:nvSpPr>
          <xdr:cNvPr id="2351522" name="Line 222">
            <a:extLst>
              <a:ext uri="{FF2B5EF4-FFF2-40B4-BE49-F238E27FC236}">
                <a16:creationId xmlns:a16="http://schemas.microsoft.com/office/drawing/2014/main" id="{00000000-0008-0000-0600-0000A2E12300}"/>
              </a:ext>
            </a:extLst>
          </xdr:cNvPr>
          <xdr:cNvSpPr>
            <a:spLocks noChangeShapeType="1"/>
          </xdr:cNvSpPr>
        </xdr:nvSpPr>
        <xdr:spPr bwMode="auto">
          <a:xfrm>
            <a:off x="2776" y="2995"/>
            <a:ext cx="654" cy="1"/>
          </a:xfrm>
          <a:prstGeom prst="line">
            <a:avLst/>
          </a:prstGeom>
          <a:noFill/>
          <a:ln w="0">
            <a:solidFill>
              <a:srgbClr val="D0D7E5"/>
            </a:solidFill>
            <a:round/>
            <a:headEnd/>
            <a:tailEnd/>
          </a:ln>
        </xdr:spPr>
      </xdr:sp>
      <xdr:sp macro="" textlink="">
        <xdr:nvSpPr>
          <xdr:cNvPr id="2351523" name="Rectangle 223">
            <a:extLst>
              <a:ext uri="{FF2B5EF4-FFF2-40B4-BE49-F238E27FC236}">
                <a16:creationId xmlns:a16="http://schemas.microsoft.com/office/drawing/2014/main" id="{00000000-0008-0000-0600-0000A3E12300}"/>
              </a:ext>
            </a:extLst>
          </xdr:cNvPr>
          <xdr:cNvSpPr>
            <a:spLocks noChangeArrowheads="1"/>
          </xdr:cNvSpPr>
        </xdr:nvSpPr>
        <xdr:spPr bwMode="auto">
          <a:xfrm>
            <a:off x="2776" y="2995"/>
            <a:ext cx="654" cy="6"/>
          </a:xfrm>
          <a:prstGeom prst="rect">
            <a:avLst/>
          </a:prstGeom>
          <a:solidFill>
            <a:srgbClr val="D0D7E5"/>
          </a:solidFill>
          <a:ln w="9525">
            <a:noFill/>
            <a:miter lim="800000"/>
            <a:headEnd/>
            <a:tailEnd/>
          </a:ln>
        </xdr:spPr>
      </xdr:sp>
      <xdr:sp macro="" textlink="">
        <xdr:nvSpPr>
          <xdr:cNvPr id="2351524" name="Line 224">
            <a:extLst>
              <a:ext uri="{FF2B5EF4-FFF2-40B4-BE49-F238E27FC236}">
                <a16:creationId xmlns:a16="http://schemas.microsoft.com/office/drawing/2014/main" id="{00000000-0008-0000-0600-0000A4E12300}"/>
              </a:ext>
            </a:extLst>
          </xdr:cNvPr>
          <xdr:cNvSpPr>
            <a:spLocks noChangeShapeType="1"/>
          </xdr:cNvSpPr>
        </xdr:nvSpPr>
        <xdr:spPr bwMode="auto">
          <a:xfrm>
            <a:off x="3436" y="2995"/>
            <a:ext cx="1782" cy="1"/>
          </a:xfrm>
          <a:prstGeom prst="line">
            <a:avLst/>
          </a:prstGeom>
          <a:noFill/>
          <a:ln w="0">
            <a:solidFill>
              <a:srgbClr val="000000"/>
            </a:solidFill>
            <a:round/>
            <a:headEnd/>
            <a:tailEnd/>
          </a:ln>
        </xdr:spPr>
      </xdr:sp>
      <xdr:sp macro="" textlink="">
        <xdr:nvSpPr>
          <xdr:cNvPr id="2351525" name="Rectangle 225">
            <a:extLst>
              <a:ext uri="{FF2B5EF4-FFF2-40B4-BE49-F238E27FC236}">
                <a16:creationId xmlns:a16="http://schemas.microsoft.com/office/drawing/2014/main" id="{00000000-0008-0000-0600-0000A5E12300}"/>
              </a:ext>
            </a:extLst>
          </xdr:cNvPr>
          <xdr:cNvSpPr>
            <a:spLocks noChangeArrowheads="1"/>
          </xdr:cNvSpPr>
        </xdr:nvSpPr>
        <xdr:spPr bwMode="auto">
          <a:xfrm>
            <a:off x="3436" y="2995"/>
            <a:ext cx="1782" cy="6"/>
          </a:xfrm>
          <a:prstGeom prst="rect">
            <a:avLst/>
          </a:prstGeom>
          <a:solidFill>
            <a:srgbClr val="000000"/>
          </a:solidFill>
          <a:ln w="9525">
            <a:noFill/>
            <a:miter lim="800000"/>
            <a:headEnd/>
            <a:tailEnd/>
          </a:ln>
        </xdr:spPr>
      </xdr:sp>
      <xdr:sp macro="" textlink="">
        <xdr:nvSpPr>
          <xdr:cNvPr id="2351526" name="Line 226">
            <a:extLst>
              <a:ext uri="{FF2B5EF4-FFF2-40B4-BE49-F238E27FC236}">
                <a16:creationId xmlns:a16="http://schemas.microsoft.com/office/drawing/2014/main" id="{00000000-0008-0000-0600-0000A6E12300}"/>
              </a:ext>
            </a:extLst>
          </xdr:cNvPr>
          <xdr:cNvSpPr>
            <a:spLocks noChangeShapeType="1"/>
          </xdr:cNvSpPr>
        </xdr:nvSpPr>
        <xdr:spPr bwMode="auto">
          <a:xfrm>
            <a:off x="754" y="3115"/>
            <a:ext cx="2022" cy="1"/>
          </a:xfrm>
          <a:prstGeom prst="line">
            <a:avLst/>
          </a:prstGeom>
          <a:noFill/>
          <a:ln w="0">
            <a:solidFill>
              <a:srgbClr val="000000"/>
            </a:solidFill>
            <a:round/>
            <a:headEnd/>
            <a:tailEnd/>
          </a:ln>
        </xdr:spPr>
      </xdr:sp>
      <xdr:sp macro="" textlink="">
        <xdr:nvSpPr>
          <xdr:cNvPr id="2351527" name="Rectangle 227">
            <a:extLst>
              <a:ext uri="{FF2B5EF4-FFF2-40B4-BE49-F238E27FC236}">
                <a16:creationId xmlns:a16="http://schemas.microsoft.com/office/drawing/2014/main" id="{00000000-0008-0000-0600-0000A7E12300}"/>
              </a:ext>
            </a:extLst>
          </xdr:cNvPr>
          <xdr:cNvSpPr>
            <a:spLocks noChangeArrowheads="1"/>
          </xdr:cNvSpPr>
        </xdr:nvSpPr>
        <xdr:spPr bwMode="auto">
          <a:xfrm>
            <a:off x="754" y="3115"/>
            <a:ext cx="2022" cy="6"/>
          </a:xfrm>
          <a:prstGeom prst="rect">
            <a:avLst/>
          </a:prstGeom>
          <a:solidFill>
            <a:srgbClr val="000000"/>
          </a:solidFill>
          <a:ln w="9525">
            <a:noFill/>
            <a:miter lim="800000"/>
            <a:headEnd/>
            <a:tailEnd/>
          </a:ln>
        </xdr:spPr>
      </xdr:sp>
      <xdr:sp macro="" textlink="">
        <xdr:nvSpPr>
          <xdr:cNvPr id="2351528" name="Line 228">
            <a:extLst>
              <a:ext uri="{FF2B5EF4-FFF2-40B4-BE49-F238E27FC236}">
                <a16:creationId xmlns:a16="http://schemas.microsoft.com/office/drawing/2014/main" id="{00000000-0008-0000-0600-0000A8E12300}"/>
              </a:ext>
            </a:extLst>
          </xdr:cNvPr>
          <xdr:cNvSpPr>
            <a:spLocks noChangeShapeType="1"/>
          </xdr:cNvSpPr>
        </xdr:nvSpPr>
        <xdr:spPr bwMode="auto">
          <a:xfrm>
            <a:off x="2776" y="3115"/>
            <a:ext cx="654" cy="1"/>
          </a:xfrm>
          <a:prstGeom prst="line">
            <a:avLst/>
          </a:prstGeom>
          <a:noFill/>
          <a:ln w="0">
            <a:solidFill>
              <a:srgbClr val="D0D7E5"/>
            </a:solidFill>
            <a:round/>
            <a:headEnd/>
            <a:tailEnd/>
          </a:ln>
        </xdr:spPr>
      </xdr:sp>
      <xdr:sp macro="" textlink="">
        <xdr:nvSpPr>
          <xdr:cNvPr id="2351529" name="Rectangle 229">
            <a:extLst>
              <a:ext uri="{FF2B5EF4-FFF2-40B4-BE49-F238E27FC236}">
                <a16:creationId xmlns:a16="http://schemas.microsoft.com/office/drawing/2014/main" id="{00000000-0008-0000-0600-0000A9E12300}"/>
              </a:ext>
            </a:extLst>
          </xdr:cNvPr>
          <xdr:cNvSpPr>
            <a:spLocks noChangeArrowheads="1"/>
          </xdr:cNvSpPr>
        </xdr:nvSpPr>
        <xdr:spPr bwMode="auto">
          <a:xfrm>
            <a:off x="2776" y="3115"/>
            <a:ext cx="654" cy="6"/>
          </a:xfrm>
          <a:prstGeom prst="rect">
            <a:avLst/>
          </a:prstGeom>
          <a:solidFill>
            <a:srgbClr val="D0D7E5"/>
          </a:solidFill>
          <a:ln w="9525">
            <a:noFill/>
            <a:miter lim="800000"/>
            <a:headEnd/>
            <a:tailEnd/>
          </a:ln>
        </xdr:spPr>
      </xdr:sp>
      <xdr:sp macro="" textlink="">
        <xdr:nvSpPr>
          <xdr:cNvPr id="2351530" name="Line 230">
            <a:extLst>
              <a:ext uri="{FF2B5EF4-FFF2-40B4-BE49-F238E27FC236}">
                <a16:creationId xmlns:a16="http://schemas.microsoft.com/office/drawing/2014/main" id="{00000000-0008-0000-0600-0000AAE12300}"/>
              </a:ext>
            </a:extLst>
          </xdr:cNvPr>
          <xdr:cNvSpPr>
            <a:spLocks noChangeShapeType="1"/>
          </xdr:cNvSpPr>
        </xdr:nvSpPr>
        <xdr:spPr bwMode="auto">
          <a:xfrm>
            <a:off x="3436" y="3115"/>
            <a:ext cx="1782" cy="1"/>
          </a:xfrm>
          <a:prstGeom prst="line">
            <a:avLst/>
          </a:prstGeom>
          <a:noFill/>
          <a:ln w="0">
            <a:solidFill>
              <a:srgbClr val="000000"/>
            </a:solidFill>
            <a:round/>
            <a:headEnd/>
            <a:tailEnd/>
          </a:ln>
        </xdr:spPr>
      </xdr:sp>
      <xdr:sp macro="" textlink="">
        <xdr:nvSpPr>
          <xdr:cNvPr id="2351531" name="Rectangle 231">
            <a:extLst>
              <a:ext uri="{FF2B5EF4-FFF2-40B4-BE49-F238E27FC236}">
                <a16:creationId xmlns:a16="http://schemas.microsoft.com/office/drawing/2014/main" id="{00000000-0008-0000-0600-0000ABE12300}"/>
              </a:ext>
            </a:extLst>
          </xdr:cNvPr>
          <xdr:cNvSpPr>
            <a:spLocks noChangeArrowheads="1"/>
          </xdr:cNvSpPr>
        </xdr:nvSpPr>
        <xdr:spPr bwMode="auto">
          <a:xfrm>
            <a:off x="3436" y="3115"/>
            <a:ext cx="1782" cy="6"/>
          </a:xfrm>
          <a:prstGeom prst="rect">
            <a:avLst/>
          </a:prstGeom>
          <a:solidFill>
            <a:srgbClr val="000000"/>
          </a:solidFill>
          <a:ln w="9525">
            <a:noFill/>
            <a:miter lim="800000"/>
            <a:headEnd/>
            <a:tailEnd/>
          </a:ln>
        </xdr:spPr>
      </xdr:sp>
      <xdr:sp macro="" textlink="">
        <xdr:nvSpPr>
          <xdr:cNvPr id="2351532" name="Line 232">
            <a:extLst>
              <a:ext uri="{FF2B5EF4-FFF2-40B4-BE49-F238E27FC236}">
                <a16:creationId xmlns:a16="http://schemas.microsoft.com/office/drawing/2014/main" id="{00000000-0008-0000-0600-0000ACE12300}"/>
              </a:ext>
            </a:extLst>
          </xdr:cNvPr>
          <xdr:cNvSpPr>
            <a:spLocks noChangeShapeType="1"/>
          </xdr:cNvSpPr>
        </xdr:nvSpPr>
        <xdr:spPr bwMode="auto">
          <a:xfrm>
            <a:off x="754" y="3235"/>
            <a:ext cx="4464" cy="1"/>
          </a:xfrm>
          <a:prstGeom prst="line">
            <a:avLst/>
          </a:prstGeom>
          <a:noFill/>
          <a:ln w="0">
            <a:solidFill>
              <a:srgbClr val="000000"/>
            </a:solidFill>
            <a:round/>
            <a:headEnd/>
            <a:tailEnd/>
          </a:ln>
        </xdr:spPr>
      </xdr:sp>
      <xdr:sp macro="" textlink="">
        <xdr:nvSpPr>
          <xdr:cNvPr id="2351533" name="Rectangle 233">
            <a:extLst>
              <a:ext uri="{FF2B5EF4-FFF2-40B4-BE49-F238E27FC236}">
                <a16:creationId xmlns:a16="http://schemas.microsoft.com/office/drawing/2014/main" id="{00000000-0008-0000-0600-0000ADE12300}"/>
              </a:ext>
            </a:extLst>
          </xdr:cNvPr>
          <xdr:cNvSpPr>
            <a:spLocks noChangeArrowheads="1"/>
          </xdr:cNvSpPr>
        </xdr:nvSpPr>
        <xdr:spPr bwMode="auto">
          <a:xfrm>
            <a:off x="754" y="3235"/>
            <a:ext cx="4464" cy="6"/>
          </a:xfrm>
          <a:prstGeom prst="rect">
            <a:avLst/>
          </a:prstGeom>
          <a:solidFill>
            <a:srgbClr val="000000"/>
          </a:solidFill>
          <a:ln w="9525">
            <a:noFill/>
            <a:miter lim="800000"/>
            <a:headEnd/>
            <a:tailEnd/>
          </a:ln>
        </xdr:spPr>
      </xdr:sp>
      <xdr:sp macro="" textlink="">
        <xdr:nvSpPr>
          <xdr:cNvPr id="2351534" name="Line 234">
            <a:extLst>
              <a:ext uri="{FF2B5EF4-FFF2-40B4-BE49-F238E27FC236}">
                <a16:creationId xmlns:a16="http://schemas.microsoft.com/office/drawing/2014/main" id="{00000000-0008-0000-0600-0000AEE12300}"/>
              </a:ext>
            </a:extLst>
          </xdr:cNvPr>
          <xdr:cNvSpPr>
            <a:spLocks noChangeShapeType="1"/>
          </xdr:cNvSpPr>
        </xdr:nvSpPr>
        <xdr:spPr bwMode="auto">
          <a:xfrm>
            <a:off x="5212" y="2401"/>
            <a:ext cx="1" cy="840"/>
          </a:xfrm>
          <a:prstGeom prst="line">
            <a:avLst/>
          </a:prstGeom>
          <a:noFill/>
          <a:ln w="0">
            <a:solidFill>
              <a:srgbClr val="000000"/>
            </a:solidFill>
            <a:round/>
            <a:headEnd/>
            <a:tailEnd/>
          </a:ln>
        </xdr:spPr>
      </xdr:sp>
      <xdr:sp macro="" textlink="">
        <xdr:nvSpPr>
          <xdr:cNvPr id="2351535" name="Rectangle 235">
            <a:extLst>
              <a:ext uri="{FF2B5EF4-FFF2-40B4-BE49-F238E27FC236}">
                <a16:creationId xmlns:a16="http://schemas.microsoft.com/office/drawing/2014/main" id="{00000000-0008-0000-0600-0000AFE12300}"/>
              </a:ext>
            </a:extLst>
          </xdr:cNvPr>
          <xdr:cNvSpPr>
            <a:spLocks noChangeArrowheads="1"/>
          </xdr:cNvSpPr>
        </xdr:nvSpPr>
        <xdr:spPr bwMode="auto">
          <a:xfrm>
            <a:off x="5212" y="2401"/>
            <a:ext cx="6" cy="840"/>
          </a:xfrm>
          <a:prstGeom prst="rect">
            <a:avLst/>
          </a:prstGeom>
          <a:solidFill>
            <a:srgbClr val="000000"/>
          </a:solidFill>
          <a:ln w="9525">
            <a:noFill/>
            <a:miter lim="800000"/>
            <a:headEnd/>
            <a:tailEnd/>
          </a:ln>
        </xdr:spPr>
      </xdr:sp>
      <xdr:sp macro="" textlink="">
        <xdr:nvSpPr>
          <xdr:cNvPr id="2351536" name="Line 236">
            <a:extLst>
              <a:ext uri="{FF2B5EF4-FFF2-40B4-BE49-F238E27FC236}">
                <a16:creationId xmlns:a16="http://schemas.microsoft.com/office/drawing/2014/main" id="{00000000-0008-0000-0600-0000B0E12300}"/>
              </a:ext>
            </a:extLst>
          </xdr:cNvPr>
          <xdr:cNvSpPr>
            <a:spLocks noChangeShapeType="1"/>
          </xdr:cNvSpPr>
        </xdr:nvSpPr>
        <xdr:spPr bwMode="auto">
          <a:xfrm>
            <a:off x="748" y="2269"/>
            <a:ext cx="1" cy="1098"/>
          </a:xfrm>
          <a:prstGeom prst="line">
            <a:avLst/>
          </a:prstGeom>
          <a:noFill/>
          <a:ln w="0">
            <a:solidFill>
              <a:srgbClr val="000000"/>
            </a:solidFill>
            <a:round/>
            <a:headEnd/>
            <a:tailEnd/>
          </a:ln>
        </xdr:spPr>
      </xdr:sp>
      <xdr:sp macro="" textlink="">
        <xdr:nvSpPr>
          <xdr:cNvPr id="2351537" name="Rectangle 237">
            <a:extLst>
              <a:ext uri="{FF2B5EF4-FFF2-40B4-BE49-F238E27FC236}">
                <a16:creationId xmlns:a16="http://schemas.microsoft.com/office/drawing/2014/main" id="{00000000-0008-0000-0600-0000B1E12300}"/>
              </a:ext>
            </a:extLst>
          </xdr:cNvPr>
          <xdr:cNvSpPr>
            <a:spLocks noChangeArrowheads="1"/>
          </xdr:cNvSpPr>
        </xdr:nvSpPr>
        <xdr:spPr bwMode="auto">
          <a:xfrm>
            <a:off x="748" y="2269"/>
            <a:ext cx="6" cy="1098"/>
          </a:xfrm>
          <a:prstGeom prst="rect">
            <a:avLst/>
          </a:prstGeom>
          <a:solidFill>
            <a:srgbClr val="000000"/>
          </a:solidFill>
          <a:ln w="9525">
            <a:noFill/>
            <a:miter lim="800000"/>
            <a:headEnd/>
            <a:tailEnd/>
          </a:ln>
        </xdr:spPr>
      </xdr:sp>
      <xdr:sp macro="" textlink="">
        <xdr:nvSpPr>
          <xdr:cNvPr id="2351538" name="Line 238">
            <a:extLst>
              <a:ext uri="{FF2B5EF4-FFF2-40B4-BE49-F238E27FC236}">
                <a16:creationId xmlns:a16="http://schemas.microsoft.com/office/drawing/2014/main" id="{00000000-0008-0000-0600-0000B2E12300}"/>
              </a:ext>
            </a:extLst>
          </xdr:cNvPr>
          <xdr:cNvSpPr>
            <a:spLocks noChangeShapeType="1"/>
          </xdr:cNvSpPr>
        </xdr:nvSpPr>
        <xdr:spPr bwMode="auto">
          <a:xfrm>
            <a:off x="2092" y="2275"/>
            <a:ext cx="1" cy="1092"/>
          </a:xfrm>
          <a:prstGeom prst="line">
            <a:avLst/>
          </a:prstGeom>
          <a:noFill/>
          <a:ln w="0">
            <a:solidFill>
              <a:srgbClr val="000000"/>
            </a:solidFill>
            <a:round/>
            <a:headEnd/>
            <a:tailEnd/>
          </a:ln>
        </xdr:spPr>
      </xdr:sp>
      <xdr:sp macro="" textlink="">
        <xdr:nvSpPr>
          <xdr:cNvPr id="2351539" name="Rectangle 239">
            <a:extLst>
              <a:ext uri="{FF2B5EF4-FFF2-40B4-BE49-F238E27FC236}">
                <a16:creationId xmlns:a16="http://schemas.microsoft.com/office/drawing/2014/main" id="{00000000-0008-0000-0600-0000B3E12300}"/>
              </a:ext>
            </a:extLst>
          </xdr:cNvPr>
          <xdr:cNvSpPr>
            <a:spLocks noChangeArrowheads="1"/>
          </xdr:cNvSpPr>
        </xdr:nvSpPr>
        <xdr:spPr bwMode="auto">
          <a:xfrm>
            <a:off x="2092" y="2275"/>
            <a:ext cx="6" cy="1092"/>
          </a:xfrm>
          <a:prstGeom prst="rect">
            <a:avLst/>
          </a:prstGeom>
          <a:solidFill>
            <a:srgbClr val="000000"/>
          </a:solidFill>
          <a:ln w="9525">
            <a:noFill/>
            <a:miter lim="800000"/>
            <a:headEnd/>
            <a:tailEnd/>
          </a:ln>
        </xdr:spPr>
      </xdr:sp>
      <xdr:sp macro="" textlink="">
        <xdr:nvSpPr>
          <xdr:cNvPr id="2351540" name="Line 240">
            <a:extLst>
              <a:ext uri="{FF2B5EF4-FFF2-40B4-BE49-F238E27FC236}">
                <a16:creationId xmlns:a16="http://schemas.microsoft.com/office/drawing/2014/main" id="{00000000-0008-0000-0600-0000B4E12300}"/>
              </a:ext>
            </a:extLst>
          </xdr:cNvPr>
          <xdr:cNvSpPr>
            <a:spLocks noChangeShapeType="1"/>
          </xdr:cNvSpPr>
        </xdr:nvSpPr>
        <xdr:spPr bwMode="auto">
          <a:xfrm>
            <a:off x="2770" y="2401"/>
            <a:ext cx="1" cy="966"/>
          </a:xfrm>
          <a:prstGeom prst="line">
            <a:avLst/>
          </a:prstGeom>
          <a:noFill/>
          <a:ln w="0">
            <a:solidFill>
              <a:srgbClr val="000000"/>
            </a:solidFill>
            <a:round/>
            <a:headEnd/>
            <a:tailEnd/>
          </a:ln>
        </xdr:spPr>
      </xdr:sp>
      <xdr:sp macro="" textlink="">
        <xdr:nvSpPr>
          <xdr:cNvPr id="2351541" name="Rectangle 241">
            <a:extLst>
              <a:ext uri="{FF2B5EF4-FFF2-40B4-BE49-F238E27FC236}">
                <a16:creationId xmlns:a16="http://schemas.microsoft.com/office/drawing/2014/main" id="{00000000-0008-0000-0600-0000B5E12300}"/>
              </a:ext>
            </a:extLst>
          </xdr:cNvPr>
          <xdr:cNvSpPr>
            <a:spLocks noChangeArrowheads="1"/>
          </xdr:cNvSpPr>
        </xdr:nvSpPr>
        <xdr:spPr bwMode="auto">
          <a:xfrm>
            <a:off x="2770" y="2401"/>
            <a:ext cx="6" cy="966"/>
          </a:xfrm>
          <a:prstGeom prst="rect">
            <a:avLst/>
          </a:prstGeom>
          <a:solidFill>
            <a:srgbClr val="000000"/>
          </a:solidFill>
          <a:ln w="9525">
            <a:noFill/>
            <a:miter lim="800000"/>
            <a:headEnd/>
            <a:tailEnd/>
          </a:ln>
        </xdr:spPr>
      </xdr:sp>
      <xdr:sp macro="" textlink="">
        <xdr:nvSpPr>
          <xdr:cNvPr id="2351542" name="Line 242">
            <a:extLst>
              <a:ext uri="{FF2B5EF4-FFF2-40B4-BE49-F238E27FC236}">
                <a16:creationId xmlns:a16="http://schemas.microsoft.com/office/drawing/2014/main" id="{00000000-0008-0000-0600-0000B6E12300}"/>
              </a:ext>
            </a:extLst>
          </xdr:cNvPr>
          <xdr:cNvSpPr>
            <a:spLocks noChangeShapeType="1"/>
          </xdr:cNvSpPr>
        </xdr:nvSpPr>
        <xdr:spPr bwMode="auto">
          <a:xfrm>
            <a:off x="754" y="3361"/>
            <a:ext cx="2682" cy="1"/>
          </a:xfrm>
          <a:prstGeom prst="line">
            <a:avLst/>
          </a:prstGeom>
          <a:noFill/>
          <a:ln w="0">
            <a:solidFill>
              <a:srgbClr val="000000"/>
            </a:solidFill>
            <a:round/>
            <a:headEnd/>
            <a:tailEnd/>
          </a:ln>
        </xdr:spPr>
      </xdr:sp>
      <xdr:sp macro="" textlink="">
        <xdr:nvSpPr>
          <xdr:cNvPr id="2351543" name="Rectangle 243">
            <a:extLst>
              <a:ext uri="{FF2B5EF4-FFF2-40B4-BE49-F238E27FC236}">
                <a16:creationId xmlns:a16="http://schemas.microsoft.com/office/drawing/2014/main" id="{00000000-0008-0000-0600-0000B7E12300}"/>
              </a:ext>
            </a:extLst>
          </xdr:cNvPr>
          <xdr:cNvSpPr>
            <a:spLocks noChangeArrowheads="1"/>
          </xdr:cNvSpPr>
        </xdr:nvSpPr>
        <xdr:spPr bwMode="auto">
          <a:xfrm>
            <a:off x="754" y="3361"/>
            <a:ext cx="2682" cy="6"/>
          </a:xfrm>
          <a:prstGeom prst="rect">
            <a:avLst/>
          </a:prstGeom>
          <a:solidFill>
            <a:srgbClr val="000000"/>
          </a:solidFill>
          <a:ln w="9525">
            <a:noFill/>
            <a:miter lim="800000"/>
            <a:headEnd/>
            <a:tailEnd/>
          </a:ln>
        </xdr:spPr>
      </xdr:sp>
      <xdr:sp macro="" textlink="">
        <xdr:nvSpPr>
          <xdr:cNvPr id="2351544" name="Line 244">
            <a:extLst>
              <a:ext uri="{FF2B5EF4-FFF2-40B4-BE49-F238E27FC236}">
                <a16:creationId xmlns:a16="http://schemas.microsoft.com/office/drawing/2014/main" id="{00000000-0008-0000-0600-0000B8E12300}"/>
              </a:ext>
            </a:extLst>
          </xdr:cNvPr>
          <xdr:cNvSpPr>
            <a:spLocks noChangeShapeType="1"/>
          </xdr:cNvSpPr>
        </xdr:nvSpPr>
        <xdr:spPr bwMode="auto">
          <a:xfrm>
            <a:off x="3430" y="2395"/>
            <a:ext cx="1" cy="972"/>
          </a:xfrm>
          <a:prstGeom prst="line">
            <a:avLst/>
          </a:prstGeom>
          <a:noFill/>
          <a:ln w="0">
            <a:solidFill>
              <a:srgbClr val="000000"/>
            </a:solidFill>
            <a:round/>
            <a:headEnd/>
            <a:tailEnd/>
          </a:ln>
        </xdr:spPr>
      </xdr:sp>
      <xdr:sp macro="" textlink="">
        <xdr:nvSpPr>
          <xdr:cNvPr id="2351545" name="Rectangle 245">
            <a:extLst>
              <a:ext uri="{FF2B5EF4-FFF2-40B4-BE49-F238E27FC236}">
                <a16:creationId xmlns:a16="http://schemas.microsoft.com/office/drawing/2014/main" id="{00000000-0008-0000-0600-0000B9E12300}"/>
              </a:ext>
            </a:extLst>
          </xdr:cNvPr>
          <xdr:cNvSpPr>
            <a:spLocks noChangeArrowheads="1"/>
          </xdr:cNvSpPr>
        </xdr:nvSpPr>
        <xdr:spPr bwMode="auto">
          <a:xfrm>
            <a:off x="3430" y="2395"/>
            <a:ext cx="6" cy="972"/>
          </a:xfrm>
          <a:prstGeom prst="rect">
            <a:avLst/>
          </a:prstGeom>
          <a:solidFill>
            <a:srgbClr val="000000"/>
          </a:solidFill>
          <a:ln w="9525">
            <a:noFill/>
            <a:miter lim="800000"/>
            <a:headEnd/>
            <a:tailEnd/>
          </a:ln>
        </xdr:spPr>
      </xdr:sp>
      <xdr:sp macro="" textlink="">
        <xdr:nvSpPr>
          <xdr:cNvPr id="2351546" name="Line 246">
            <a:extLst>
              <a:ext uri="{FF2B5EF4-FFF2-40B4-BE49-F238E27FC236}">
                <a16:creationId xmlns:a16="http://schemas.microsoft.com/office/drawing/2014/main" id="{00000000-0008-0000-0600-0000BAE12300}"/>
              </a:ext>
            </a:extLst>
          </xdr:cNvPr>
          <xdr:cNvSpPr>
            <a:spLocks noChangeShapeType="1"/>
          </xdr:cNvSpPr>
        </xdr:nvSpPr>
        <xdr:spPr bwMode="auto">
          <a:xfrm>
            <a:off x="748" y="3367"/>
            <a:ext cx="1" cy="234"/>
          </a:xfrm>
          <a:prstGeom prst="line">
            <a:avLst/>
          </a:prstGeom>
          <a:noFill/>
          <a:ln w="0">
            <a:solidFill>
              <a:srgbClr val="D0D7E5"/>
            </a:solidFill>
            <a:round/>
            <a:headEnd/>
            <a:tailEnd/>
          </a:ln>
        </xdr:spPr>
      </xdr:sp>
      <xdr:sp macro="" textlink="">
        <xdr:nvSpPr>
          <xdr:cNvPr id="2351547" name="Rectangle 247">
            <a:extLst>
              <a:ext uri="{FF2B5EF4-FFF2-40B4-BE49-F238E27FC236}">
                <a16:creationId xmlns:a16="http://schemas.microsoft.com/office/drawing/2014/main" id="{00000000-0008-0000-0600-0000BBE12300}"/>
              </a:ext>
            </a:extLst>
          </xdr:cNvPr>
          <xdr:cNvSpPr>
            <a:spLocks noChangeArrowheads="1"/>
          </xdr:cNvSpPr>
        </xdr:nvSpPr>
        <xdr:spPr bwMode="auto">
          <a:xfrm>
            <a:off x="748" y="3367"/>
            <a:ext cx="6" cy="234"/>
          </a:xfrm>
          <a:prstGeom prst="rect">
            <a:avLst/>
          </a:prstGeom>
          <a:solidFill>
            <a:srgbClr val="D0D7E5"/>
          </a:solidFill>
          <a:ln w="9525">
            <a:noFill/>
            <a:miter lim="800000"/>
            <a:headEnd/>
            <a:tailEnd/>
          </a:ln>
        </xdr:spPr>
      </xdr:sp>
      <xdr:sp macro="" textlink="">
        <xdr:nvSpPr>
          <xdr:cNvPr id="2351548" name="Line 248">
            <a:extLst>
              <a:ext uri="{FF2B5EF4-FFF2-40B4-BE49-F238E27FC236}">
                <a16:creationId xmlns:a16="http://schemas.microsoft.com/office/drawing/2014/main" id="{00000000-0008-0000-0600-0000BCE12300}"/>
              </a:ext>
            </a:extLst>
          </xdr:cNvPr>
          <xdr:cNvSpPr>
            <a:spLocks noChangeShapeType="1"/>
          </xdr:cNvSpPr>
        </xdr:nvSpPr>
        <xdr:spPr bwMode="auto">
          <a:xfrm>
            <a:off x="2092" y="3367"/>
            <a:ext cx="1" cy="234"/>
          </a:xfrm>
          <a:prstGeom prst="line">
            <a:avLst/>
          </a:prstGeom>
          <a:noFill/>
          <a:ln w="0">
            <a:solidFill>
              <a:srgbClr val="D0D7E5"/>
            </a:solidFill>
            <a:round/>
            <a:headEnd/>
            <a:tailEnd/>
          </a:ln>
        </xdr:spPr>
      </xdr:sp>
      <xdr:sp macro="" textlink="">
        <xdr:nvSpPr>
          <xdr:cNvPr id="2351549" name="Rectangle 249">
            <a:extLst>
              <a:ext uri="{FF2B5EF4-FFF2-40B4-BE49-F238E27FC236}">
                <a16:creationId xmlns:a16="http://schemas.microsoft.com/office/drawing/2014/main" id="{00000000-0008-0000-0600-0000BDE12300}"/>
              </a:ext>
            </a:extLst>
          </xdr:cNvPr>
          <xdr:cNvSpPr>
            <a:spLocks noChangeArrowheads="1"/>
          </xdr:cNvSpPr>
        </xdr:nvSpPr>
        <xdr:spPr bwMode="auto">
          <a:xfrm>
            <a:off x="2092" y="3367"/>
            <a:ext cx="6" cy="234"/>
          </a:xfrm>
          <a:prstGeom prst="rect">
            <a:avLst/>
          </a:prstGeom>
          <a:solidFill>
            <a:srgbClr val="D0D7E5"/>
          </a:solidFill>
          <a:ln w="9525">
            <a:noFill/>
            <a:miter lim="800000"/>
            <a:headEnd/>
            <a:tailEnd/>
          </a:ln>
        </xdr:spPr>
      </xdr:sp>
      <xdr:sp macro="" textlink="">
        <xdr:nvSpPr>
          <xdr:cNvPr id="2351550" name="Line 250">
            <a:extLst>
              <a:ext uri="{FF2B5EF4-FFF2-40B4-BE49-F238E27FC236}">
                <a16:creationId xmlns:a16="http://schemas.microsoft.com/office/drawing/2014/main" id="{00000000-0008-0000-0600-0000BEE12300}"/>
              </a:ext>
            </a:extLst>
          </xdr:cNvPr>
          <xdr:cNvSpPr>
            <a:spLocks noChangeShapeType="1"/>
          </xdr:cNvSpPr>
        </xdr:nvSpPr>
        <xdr:spPr bwMode="auto">
          <a:xfrm>
            <a:off x="754" y="3601"/>
            <a:ext cx="2022" cy="1"/>
          </a:xfrm>
          <a:prstGeom prst="line">
            <a:avLst/>
          </a:prstGeom>
          <a:noFill/>
          <a:ln w="0">
            <a:solidFill>
              <a:srgbClr val="000000"/>
            </a:solidFill>
            <a:round/>
            <a:headEnd/>
            <a:tailEnd/>
          </a:ln>
        </xdr:spPr>
      </xdr:sp>
      <xdr:sp macro="" textlink="">
        <xdr:nvSpPr>
          <xdr:cNvPr id="2351551" name="Rectangle 251">
            <a:extLst>
              <a:ext uri="{FF2B5EF4-FFF2-40B4-BE49-F238E27FC236}">
                <a16:creationId xmlns:a16="http://schemas.microsoft.com/office/drawing/2014/main" id="{00000000-0008-0000-0600-0000BFE12300}"/>
              </a:ext>
            </a:extLst>
          </xdr:cNvPr>
          <xdr:cNvSpPr>
            <a:spLocks noChangeArrowheads="1"/>
          </xdr:cNvSpPr>
        </xdr:nvSpPr>
        <xdr:spPr bwMode="auto">
          <a:xfrm>
            <a:off x="754" y="3601"/>
            <a:ext cx="2022" cy="6"/>
          </a:xfrm>
          <a:prstGeom prst="rect">
            <a:avLst/>
          </a:prstGeom>
          <a:solidFill>
            <a:srgbClr val="000000"/>
          </a:solidFill>
          <a:ln w="9525">
            <a:noFill/>
            <a:miter lim="800000"/>
            <a:headEnd/>
            <a:tailEnd/>
          </a:ln>
        </xdr:spPr>
      </xdr:sp>
      <xdr:sp macro="" textlink="">
        <xdr:nvSpPr>
          <xdr:cNvPr id="2351552" name="Line 252">
            <a:extLst>
              <a:ext uri="{FF2B5EF4-FFF2-40B4-BE49-F238E27FC236}">
                <a16:creationId xmlns:a16="http://schemas.microsoft.com/office/drawing/2014/main" id="{00000000-0008-0000-0600-0000C0E12300}"/>
              </a:ext>
            </a:extLst>
          </xdr:cNvPr>
          <xdr:cNvSpPr>
            <a:spLocks noChangeShapeType="1"/>
          </xdr:cNvSpPr>
        </xdr:nvSpPr>
        <xdr:spPr bwMode="auto">
          <a:xfrm>
            <a:off x="2770" y="3367"/>
            <a:ext cx="1" cy="234"/>
          </a:xfrm>
          <a:prstGeom prst="line">
            <a:avLst/>
          </a:prstGeom>
          <a:noFill/>
          <a:ln w="0">
            <a:solidFill>
              <a:srgbClr val="D0D7E5"/>
            </a:solidFill>
            <a:round/>
            <a:headEnd/>
            <a:tailEnd/>
          </a:ln>
        </xdr:spPr>
      </xdr:sp>
      <xdr:sp macro="" textlink="">
        <xdr:nvSpPr>
          <xdr:cNvPr id="2351553" name="Rectangle 253">
            <a:extLst>
              <a:ext uri="{FF2B5EF4-FFF2-40B4-BE49-F238E27FC236}">
                <a16:creationId xmlns:a16="http://schemas.microsoft.com/office/drawing/2014/main" id="{00000000-0008-0000-0600-0000C1E12300}"/>
              </a:ext>
            </a:extLst>
          </xdr:cNvPr>
          <xdr:cNvSpPr>
            <a:spLocks noChangeArrowheads="1"/>
          </xdr:cNvSpPr>
        </xdr:nvSpPr>
        <xdr:spPr bwMode="auto">
          <a:xfrm>
            <a:off x="2770" y="3367"/>
            <a:ext cx="6" cy="234"/>
          </a:xfrm>
          <a:prstGeom prst="rect">
            <a:avLst/>
          </a:prstGeom>
          <a:solidFill>
            <a:srgbClr val="D0D7E5"/>
          </a:solidFill>
          <a:ln w="9525">
            <a:noFill/>
            <a:miter lim="800000"/>
            <a:headEnd/>
            <a:tailEnd/>
          </a:ln>
        </xdr:spPr>
      </xdr:sp>
      <xdr:sp macro="" textlink="">
        <xdr:nvSpPr>
          <xdr:cNvPr id="2351554" name="Line 254">
            <a:extLst>
              <a:ext uri="{FF2B5EF4-FFF2-40B4-BE49-F238E27FC236}">
                <a16:creationId xmlns:a16="http://schemas.microsoft.com/office/drawing/2014/main" id="{00000000-0008-0000-0600-0000C2E12300}"/>
              </a:ext>
            </a:extLst>
          </xdr:cNvPr>
          <xdr:cNvSpPr>
            <a:spLocks noChangeShapeType="1"/>
          </xdr:cNvSpPr>
        </xdr:nvSpPr>
        <xdr:spPr bwMode="auto">
          <a:xfrm>
            <a:off x="754" y="3727"/>
            <a:ext cx="2022" cy="1"/>
          </a:xfrm>
          <a:prstGeom prst="line">
            <a:avLst/>
          </a:prstGeom>
          <a:noFill/>
          <a:ln w="0">
            <a:solidFill>
              <a:srgbClr val="000000"/>
            </a:solidFill>
            <a:round/>
            <a:headEnd/>
            <a:tailEnd/>
          </a:ln>
        </xdr:spPr>
      </xdr:sp>
      <xdr:sp macro="" textlink="">
        <xdr:nvSpPr>
          <xdr:cNvPr id="2351555" name="Rectangle 255">
            <a:extLst>
              <a:ext uri="{FF2B5EF4-FFF2-40B4-BE49-F238E27FC236}">
                <a16:creationId xmlns:a16="http://schemas.microsoft.com/office/drawing/2014/main" id="{00000000-0008-0000-0600-0000C3E12300}"/>
              </a:ext>
            </a:extLst>
          </xdr:cNvPr>
          <xdr:cNvSpPr>
            <a:spLocks noChangeArrowheads="1"/>
          </xdr:cNvSpPr>
        </xdr:nvSpPr>
        <xdr:spPr bwMode="auto">
          <a:xfrm>
            <a:off x="754" y="3727"/>
            <a:ext cx="2022" cy="6"/>
          </a:xfrm>
          <a:prstGeom prst="rect">
            <a:avLst/>
          </a:prstGeom>
          <a:solidFill>
            <a:srgbClr val="000000"/>
          </a:solidFill>
          <a:ln w="9525">
            <a:noFill/>
            <a:miter lim="800000"/>
            <a:headEnd/>
            <a:tailEnd/>
          </a:ln>
        </xdr:spPr>
      </xdr:sp>
      <xdr:sp macro="" textlink="">
        <xdr:nvSpPr>
          <xdr:cNvPr id="2351556" name="Line 256">
            <a:extLst>
              <a:ext uri="{FF2B5EF4-FFF2-40B4-BE49-F238E27FC236}">
                <a16:creationId xmlns:a16="http://schemas.microsoft.com/office/drawing/2014/main" id="{00000000-0008-0000-0600-0000C4E12300}"/>
              </a:ext>
            </a:extLst>
          </xdr:cNvPr>
          <xdr:cNvSpPr>
            <a:spLocks noChangeShapeType="1"/>
          </xdr:cNvSpPr>
        </xdr:nvSpPr>
        <xdr:spPr bwMode="auto">
          <a:xfrm>
            <a:off x="748" y="3601"/>
            <a:ext cx="1" cy="258"/>
          </a:xfrm>
          <a:prstGeom prst="line">
            <a:avLst/>
          </a:prstGeom>
          <a:noFill/>
          <a:ln w="0">
            <a:solidFill>
              <a:srgbClr val="000000"/>
            </a:solidFill>
            <a:round/>
            <a:headEnd/>
            <a:tailEnd/>
          </a:ln>
        </xdr:spPr>
      </xdr:sp>
      <xdr:sp macro="" textlink="">
        <xdr:nvSpPr>
          <xdr:cNvPr id="2351557" name="Rectangle 257">
            <a:extLst>
              <a:ext uri="{FF2B5EF4-FFF2-40B4-BE49-F238E27FC236}">
                <a16:creationId xmlns:a16="http://schemas.microsoft.com/office/drawing/2014/main" id="{00000000-0008-0000-0600-0000C5E12300}"/>
              </a:ext>
            </a:extLst>
          </xdr:cNvPr>
          <xdr:cNvSpPr>
            <a:spLocks noChangeArrowheads="1"/>
          </xdr:cNvSpPr>
        </xdr:nvSpPr>
        <xdr:spPr bwMode="auto">
          <a:xfrm>
            <a:off x="748" y="3601"/>
            <a:ext cx="6" cy="258"/>
          </a:xfrm>
          <a:prstGeom prst="rect">
            <a:avLst/>
          </a:prstGeom>
          <a:solidFill>
            <a:srgbClr val="000000"/>
          </a:solidFill>
          <a:ln w="9525">
            <a:noFill/>
            <a:miter lim="800000"/>
            <a:headEnd/>
            <a:tailEnd/>
          </a:ln>
        </xdr:spPr>
      </xdr:sp>
      <xdr:sp macro="" textlink="">
        <xdr:nvSpPr>
          <xdr:cNvPr id="2351558" name="Line 258">
            <a:extLst>
              <a:ext uri="{FF2B5EF4-FFF2-40B4-BE49-F238E27FC236}">
                <a16:creationId xmlns:a16="http://schemas.microsoft.com/office/drawing/2014/main" id="{00000000-0008-0000-0600-0000C6E12300}"/>
              </a:ext>
            </a:extLst>
          </xdr:cNvPr>
          <xdr:cNvSpPr>
            <a:spLocks noChangeShapeType="1"/>
          </xdr:cNvSpPr>
        </xdr:nvSpPr>
        <xdr:spPr bwMode="auto">
          <a:xfrm>
            <a:off x="2092" y="3607"/>
            <a:ext cx="1" cy="252"/>
          </a:xfrm>
          <a:prstGeom prst="line">
            <a:avLst/>
          </a:prstGeom>
          <a:noFill/>
          <a:ln w="0">
            <a:solidFill>
              <a:srgbClr val="000000"/>
            </a:solidFill>
            <a:round/>
            <a:headEnd/>
            <a:tailEnd/>
          </a:ln>
        </xdr:spPr>
      </xdr:sp>
      <xdr:sp macro="" textlink="">
        <xdr:nvSpPr>
          <xdr:cNvPr id="2351559" name="Rectangle 259">
            <a:extLst>
              <a:ext uri="{FF2B5EF4-FFF2-40B4-BE49-F238E27FC236}">
                <a16:creationId xmlns:a16="http://schemas.microsoft.com/office/drawing/2014/main" id="{00000000-0008-0000-0600-0000C7E12300}"/>
              </a:ext>
            </a:extLst>
          </xdr:cNvPr>
          <xdr:cNvSpPr>
            <a:spLocks noChangeArrowheads="1"/>
          </xdr:cNvSpPr>
        </xdr:nvSpPr>
        <xdr:spPr bwMode="auto">
          <a:xfrm>
            <a:off x="2092" y="3607"/>
            <a:ext cx="6" cy="252"/>
          </a:xfrm>
          <a:prstGeom prst="rect">
            <a:avLst/>
          </a:prstGeom>
          <a:solidFill>
            <a:srgbClr val="000000"/>
          </a:solidFill>
          <a:ln w="9525">
            <a:noFill/>
            <a:miter lim="800000"/>
            <a:headEnd/>
            <a:tailEnd/>
          </a:ln>
        </xdr:spPr>
      </xdr:sp>
      <xdr:sp macro="" textlink="">
        <xdr:nvSpPr>
          <xdr:cNvPr id="2351560" name="Line 260">
            <a:extLst>
              <a:ext uri="{FF2B5EF4-FFF2-40B4-BE49-F238E27FC236}">
                <a16:creationId xmlns:a16="http://schemas.microsoft.com/office/drawing/2014/main" id="{00000000-0008-0000-0600-0000C8E12300}"/>
              </a:ext>
            </a:extLst>
          </xdr:cNvPr>
          <xdr:cNvSpPr>
            <a:spLocks noChangeShapeType="1"/>
          </xdr:cNvSpPr>
        </xdr:nvSpPr>
        <xdr:spPr bwMode="auto">
          <a:xfrm>
            <a:off x="754" y="3853"/>
            <a:ext cx="2022" cy="1"/>
          </a:xfrm>
          <a:prstGeom prst="line">
            <a:avLst/>
          </a:prstGeom>
          <a:noFill/>
          <a:ln w="0">
            <a:solidFill>
              <a:srgbClr val="000000"/>
            </a:solidFill>
            <a:round/>
            <a:headEnd/>
            <a:tailEnd/>
          </a:ln>
        </xdr:spPr>
      </xdr:sp>
      <xdr:sp macro="" textlink="">
        <xdr:nvSpPr>
          <xdr:cNvPr id="2351561" name="Rectangle 261">
            <a:extLst>
              <a:ext uri="{FF2B5EF4-FFF2-40B4-BE49-F238E27FC236}">
                <a16:creationId xmlns:a16="http://schemas.microsoft.com/office/drawing/2014/main" id="{00000000-0008-0000-0600-0000C9E12300}"/>
              </a:ext>
            </a:extLst>
          </xdr:cNvPr>
          <xdr:cNvSpPr>
            <a:spLocks noChangeArrowheads="1"/>
          </xdr:cNvSpPr>
        </xdr:nvSpPr>
        <xdr:spPr bwMode="auto">
          <a:xfrm>
            <a:off x="754" y="3853"/>
            <a:ext cx="2022" cy="6"/>
          </a:xfrm>
          <a:prstGeom prst="rect">
            <a:avLst/>
          </a:prstGeom>
          <a:solidFill>
            <a:srgbClr val="000000"/>
          </a:solidFill>
          <a:ln w="9525">
            <a:noFill/>
            <a:miter lim="800000"/>
            <a:headEnd/>
            <a:tailEnd/>
          </a:ln>
        </xdr:spPr>
      </xdr:sp>
      <xdr:sp macro="" textlink="">
        <xdr:nvSpPr>
          <xdr:cNvPr id="2351562" name="Line 262">
            <a:extLst>
              <a:ext uri="{FF2B5EF4-FFF2-40B4-BE49-F238E27FC236}">
                <a16:creationId xmlns:a16="http://schemas.microsoft.com/office/drawing/2014/main" id="{00000000-0008-0000-0600-0000CAE12300}"/>
              </a:ext>
            </a:extLst>
          </xdr:cNvPr>
          <xdr:cNvSpPr>
            <a:spLocks noChangeShapeType="1"/>
          </xdr:cNvSpPr>
        </xdr:nvSpPr>
        <xdr:spPr bwMode="auto">
          <a:xfrm>
            <a:off x="2770" y="3607"/>
            <a:ext cx="1" cy="252"/>
          </a:xfrm>
          <a:prstGeom prst="line">
            <a:avLst/>
          </a:prstGeom>
          <a:noFill/>
          <a:ln w="0">
            <a:solidFill>
              <a:srgbClr val="000000"/>
            </a:solidFill>
            <a:round/>
            <a:headEnd/>
            <a:tailEnd/>
          </a:ln>
        </xdr:spPr>
      </xdr:sp>
      <xdr:sp macro="" textlink="">
        <xdr:nvSpPr>
          <xdr:cNvPr id="2351563" name="Rectangle 263">
            <a:extLst>
              <a:ext uri="{FF2B5EF4-FFF2-40B4-BE49-F238E27FC236}">
                <a16:creationId xmlns:a16="http://schemas.microsoft.com/office/drawing/2014/main" id="{00000000-0008-0000-0600-0000CBE12300}"/>
              </a:ext>
            </a:extLst>
          </xdr:cNvPr>
          <xdr:cNvSpPr>
            <a:spLocks noChangeArrowheads="1"/>
          </xdr:cNvSpPr>
        </xdr:nvSpPr>
        <xdr:spPr bwMode="auto">
          <a:xfrm>
            <a:off x="2770" y="3607"/>
            <a:ext cx="6" cy="252"/>
          </a:xfrm>
          <a:prstGeom prst="rect">
            <a:avLst/>
          </a:prstGeom>
          <a:solidFill>
            <a:srgbClr val="000000"/>
          </a:solidFill>
          <a:ln w="9525">
            <a:noFill/>
            <a:miter lim="800000"/>
            <a:headEnd/>
            <a:tailEnd/>
          </a:ln>
        </xdr:spPr>
      </xdr:sp>
      <xdr:sp macro="" textlink="">
        <xdr:nvSpPr>
          <xdr:cNvPr id="2351564" name="Line 264">
            <a:extLst>
              <a:ext uri="{FF2B5EF4-FFF2-40B4-BE49-F238E27FC236}">
                <a16:creationId xmlns:a16="http://schemas.microsoft.com/office/drawing/2014/main" id="{00000000-0008-0000-0600-0000CCE12300}"/>
              </a:ext>
            </a:extLst>
          </xdr:cNvPr>
          <xdr:cNvSpPr>
            <a:spLocks noChangeShapeType="1"/>
          </xdr:cNvSpPr>
        </xdr:nvSpPr>
        <xdr:spPr bwMode="auto">
          <a:xfrm>
            <a:off x="748" y="3859"/>
            <a:ext cx="1" cy="120"/>
          </a:xfrm>
          <a:prstGeom prst="line">
            <a:avLst/>
          </a:prstGeom>
          <a:noFill/>
          <a:ln w="0">
            <a:solidFill>
              <a:srgbClr val="D0D7E5"/>
            </a:solidFill>
            <a:round/>
            <a:headEnd/>
            <a:tailEnd/>
          </a:ln>
        </xdr:spPr>
      </xdr:sp>
      <xdr:sp macro="" textlink="">
        <xdr:nvSpPr>
          <xdr:cNvPr id="2351565" name="Rectangle 265">
            <a:extLst>
              <a:ext uri="{FF2B5EF4-FFF2-40B4-BE49-F238E27FC236}">
                <a16:creationId xmlns:a16="http://schemas.microsoft.com/office/drawing/2014/main" id="{00000000-0008-0000-0600-0000CDE12300}"/>
              </a:ext>
            </a:extLst>
          </xdr:cNvPr>
          <xdr:cNvSpPr>
            <a:spLocks noChangeArrowheads="1"/>
          </xdr:cNvSpPr>
        </xdr:nvSpPr>
        <xdr:spPr bwMode="auto">
          <a:xfrm>
            <a:off x="748" y="3859"/>
            <a:ext cx="6" cy="120"/>
          </a:xfrm>
          <a:prstGeom prst="rect">
            <a:avLst/>
          </a:prstGeom>
          <a:solidFill>
            <a:srgbClr val="D0D7E5"/>
          </a:solidFill>
          <a:ln w="9525">
            <a:noFill/>
            <a:miter lim="800000"/>
            <a:headEnd/>
            <a:tailEnd/>
          </a:ln>
        </xdr:spPr>
      </xdr:sp>
      <xdr:sp macro="" textlink="">
        <xdr:nvSpPr>
          <xdr:cNvPr id="2351566" name="Line 266">
            <a:extLst>
              <a:ext uri="{FF2B5EF4-FFF2-40B4-BE49-F238E27FC236}">
                <a16:creationId xmlns:a16="http://schemas.microsoft.com/office/drawing/2014/main" id="{00000000-0008-0000-0600-0000CEE12300}"/>
              </a:ext>
            </a:extLst>
          </xdr:cNvPr>
          <xdr:cNvSpPr>
            <a:spLocks noChangeShapeType="1"/>
          </xdr:cNvSpPr>
        </xdr:nvSpPr>
        <xdr:spPr bwMode="auto">
          <a:xfrm>
            <a:off x="2092" y="3859"/>
            <a:ext cx="1" cy="120"/>
          </a:xfrm>
          <a:prstGeom prst="line">
            <a:avLst/>
          </a:prstGeom>
          <a:noFill/>
          <a:ln w="0">
            <a:solidFill>
              <a:srgbClr val="D0D7E5"/>
            </a:solidFill>
            <a:round/>
            <a:headEnd/>
            <a:tailEnd/>
          </a:ln>
        </xdr:spPr>
      </xdr:sp>
      <xdr:sp macro="" textlink="">
        <xdr:nvSpPr>
          <xdr:cNvPr id="2351567" name="Rectangle 267">
            <a:extLst>
              <a:ext uri="{FF2B5EF4-FFF2-40B4-BE49-F238E27FC236}">
                <a16:creationId xmlns:a16="http://schemas.microsoft.com/office/drawing/2014/main" id="{00000000-0008-0000-0600-0000CFE12300}"/>
              </a:ext>
            </a:extLst>
          </xdr:cNvPr>
          <xdr:cNvSpPr>
            <a:spLocks noChangeArrowheads="1"/>
          </xdr:cNvSpPr>
        </xdr:nvSpPr>
        <xdr:spPr bwMode="auto">
          <a:xfrm>
            <a:off x="2092" y="3859"/>
            <a:ext cx="6" cy="120"/>
          </a:xfrm>
          <a:prstGeom prst="rect">
            <a:avLst/>
          </a:prstGeom>
          <a:solidFill>
            <a:srgbClr val="D0D7E5"/>
          </a:solidFill>
          <a:ln w="9525">
            <a:noFill/>
            <a:miter lim="800000"/>
            <a:headEnd/>
            <a:tailEnd/>
          </a:ln>
        </xdr:spPr>
      </xdr:sp>
      <xdr:sp macro="" textlink="">
        <xdr:nvSpPr>
          <xdr:cNvPr id="2351568" name="Line 268">
            <a:extLst>
              <a:ext uri="{FF2B5EF4-FFF2-40B4-BE49-F238E27FC236}">
                <a16:creationId xmlns:a16="http://schemas.microsoft.com/office/drawing/2014/main" id="{00000000-0008-0000-0600-0000D0E12300}"/>
              </a:ext>
            </a:extLst>
          </xdr:cNvPr>
          <xdr:cNvSpPr>
            <a:spLocks noChangeShapeType="1"/>
          </xdr:cNvSpPr>
        </xdr:nvSpPr>
        <xdr:spPr bwMode="auto">
          <a:xfrm>
            <a:off x="2770" y="3859"/>
            <a:ext cx="1" cy="120"/>
          </a:xfrm>
          <a:prstGeom prst="line">
            <a:avLst/>
          </a:prstGeom>
          <a:noFill/>
          <a:ln w="0">
            <a:solidFill>
              <a:srgbClr val="D0D7E5"/>
            </a:solidFill>
            <a:round/>
            <a:headEnd/>
            <a:tailEnd/>
          </a:ln>
        </xdr:spPr>
      </xdr:sp>
      <xdr:sp macro="" textlink="">
        <xdr:nvSpPr>
          <xdr:cNvPr id="2351569" name="Rectangle 269">
            <a:extLst>
              <a:ext uri="{FF2B5EF4-FFF2-40B4-BE49-F238E27FC236}">
                <a16:creationId xmlns:a16="http://schemas.microsoft.com/office/drawing/2014/main" id="{00000000-0008-0000-0600-0000D1E12300}"/>
              </a:ext>
            </a:extLst>
          </xdr:cNvPr>
          <xdr:cNvSpPr>
            <a:spLocks noChangeArrowheads="1"/>
          </xdr:cNvSpPr>
        </xdr:nvSpPr>
        <xdr:spPr bwMode="auto">
          <a:xfrm>
            <a:off x="2770" y="3859"/>
            <a:ext cx="6" cy="120"/>
          </a:xfrm>
          <a:prstGeom prst="rect">
            <a:avLst/>
          </a:prstGeom>
          <a:solidFill>
            <a:srgbClr val="D0D7E5"/>
          </a:solidFill>
          <a:ln w="9525">
            <a:noFill/>
            <a:miter lim="800000"/>
            <a:headEnd/>
            <a:tailEnd/>
          </a:ln>
        </xdr:spPr>
      </xdr:sp>
      <xdr:sp macro="" textlink="">
        <xdr:nvSpPr>
          <xdr:cNvPr id="2351570" name="Line 270">
            <a:extLst>
              <a:ext uri="{FF2B5EF4-FFF2-40B4-BE49-F238E27FC236}">
                <a16:creationId xmlns:a16="http://schemas.microsoft.com/office/drawing/2014/main" id="{00000000-0008-0000-0600-0000D2E12300}"/>
              </a:ext>
            </a:extLst>
          </xdr:cNvPr>
          <xdr:cNvSpPr>
            <a:spLocks noChangeShapeType="1"/>
          </xdr:cNvSpPr>
        </xdr:nvSpPr>
        <xdr:spPr bwMode="auto">
          <a:xfrm>
            <a:off x="754" y="3979"/>
            <a:ext cx="2682" cy="1"/>
          </a:xfrm>
          <a:prstGeom prst="line">
            <a:avLst/>
          </a:prstGeom>
          <a:noFill/>
          <a:ln w="0">
            <a:solidFill>
              <a:srgbClr val="000000"/>
            </a:solidFill>
            <a:round/>
            <a:headEnd/>
            <a:tailEnd/>
          </a:ln>
        </xdr:spPr>
      </xdr:sp>
      <xdr:sp macro="" textlink="">
        <xdr:nvSpPr>
          <xdr:cNvPr id="2351571" name="Rectangle 271">
            <a:extLst>
              <a:ext uri="{FF2B5EF4-FFF2-40B4-BE49-F238E27FC236}">
                <a16:creationId xmlns:a16="http://schemas.microsoft.com/office/drawing/2014/main" id="{00000000-0008-0000-0600-0000D3E12300}"/>
              </a:ext>
            </a:extLst>
          </xdr:cNvPr>
          <xdr:cNvSpPr>
            <a:spLocks noChangeArrowheads="1"/>
          </xdr:cNvSpPr>
        </xdr:nvSpPr>
        <xdr:spPr bwMode="auto">
          <a:xfrm>
            <a:off x="754" y="3979"/>
            <a:ext cx="2682" cy="6"/>
          </a:xfrm>
          <a:prstGeom prst="rect">
            <a:avLst/>
          </a:prstGeom>
          <a:solidFill>
            <a:srgbClr val="000000"/>
          </a:solidFill>
          <a:ln w="9525">
            <a:noFill/>
            <a:miter lim="800000"/>
            <a:headEnd/>
            <a:tailEnd/>
          </a:ln>
        </xdr:spPr>
      </xdr:sp>
      <xdr:sp macro="" textlink="">
        <xdr:nvSpPr>
          <xdr:cNvPr id="2351572" name="Line 272">
            <a:extLst>
              <a:ext uri="{FF2B5EF4-FFF2-40B4-BE49-F238E27FC236}">
                <a16:creationId xmlns:a16="http://schemas.microsoft.com/office/drawing/2014/main" id="{00000000-0008-0000-0600-0000D4E12300}"/>
              </a:ext>
            </a:extLst>
          </xdr:cNvPr>
          <xdr:cNvSpPr>
            <a:spLocks noChangeShapeType="1"/>
          </xdr:cNvSpPr>
        </xdr:nvSpPr>
        <xdr:spPr bwMode="auto">
          <a:xfrm>
            <a:off x="3430" y="3367"/>
            <a:ext cx="1" cy="612"/>
          </a:xfrm>
          <a:prstGeom prst="line">
            <a:avLst/>
          </a:prstGeom>
          <a:noFill/>
          <a:ln w="0">
            <a:solidFill>
              <a:srgbClr val="D0D7E5"/>
            </a:solidFill>
            <a:round/>
            <a:headEnd/>
            <a:tailEnd/>
          </a:ln>
        </xdr:spPr>
      </xdr:sp>
      <xdr:sp macro="" textlink="">
        <xdr:nvSpPr>
          <xdr:cNvPr id="2351573" name="Rectangle 273">
            <a:extLst>
              <a:ext uri="{FF2B5EF4-FFF2-40B4-BE49-F238E27FC236}">
                <a16:creationId xmlns:a16="http://schemas.microsoft.com/office/drawing/2014/main" id="{00000000-0008-0000-0600-0000D5E12300}"/>
              </a:ext>
            </a:extLst>
          </xdr:cNvPr>
          <xdr:cNvSpPr>
            <a:spLocks noChangeArrowheads="1"/>
          </xdr:cNvSpPr>
        </xdr:nvSpPr>
        <xdr:spPr bwMode="auto">
          <a:xfrm>
            <a:off x="3430" y="3367"/>
            <a:ext cx="6" cy="612"/>
          </a:xfrm>
          <a:prstGeom prst="rect">
            <a:avLst/>
          </a:prstGeom>
          <a:solidFill>
            <a:srgbClr val="D0D7E5"/>
          </a:solidFill>
          <a:ln w="9525">
            <a:noFill/>
            <a:miter lim="800000"/>
            <a:headEnd/>
            <a:tailEnd/>
          </a:ln>
        </xdr:spPr>
      </xdr:sp>
      <xdr:sp macro="" textlink="">
        <xdr:nvSpPr>
          <xdr:cNvPr id="2351574" name="Line 274">
            <a:extLst>
              <a:ext uri="{FF2B5EF4-FFF2-40B4-BE49-F238E27FC236}">
                <a16:creationId xmlns:a16="http://schemas.microsoft.com/office/drawing/2014/main" id="{00000000-0008-0000-0600-0000D6E12300}"/>
              </a:ext>
            </a:extLst>
          </xdr:cNvPr>
          <xdr:cNvSpPr>
            <a:spLocks noChangeShapeType="1"/>
          </xdr:cNvSpPr>
        </xdr:nvSpPr>
        <xdr:spPr bwMode="auto">
          <a:xfrm>
            <a:off x="748" y="3979"/>
            <a:ext cx="1" cy="132"/>
          </a:xfrm>
          <a:prstGeom prst="line">
            <a:avLst/>
          </a:prstGeom>
          <a:noFill/>
          <a:ln w="0">
            <a:solidFill>
              <a:srgbClr val="000000"/>
            </a:solidFill>
            <a:round/>
            <a:headEnd/>
            <a:tailEnd/>
          </a:ln>
        </xdr:spPr>
      </xdr:sp>
      <xdr:sp macro="" textlink="">
        <xdr:nvSpPr>
          <xdr:cNvPr id="2351575" name="Rectangle 275">
            <a:extLst>
              <a:ext uri="{FF2B5EF4-FFF2-40B4-BE49-F238E27FC236}">
                <a16:creationId xmlns:a16="http://schemas.microsoft.com/office/drawing/2014/main" id="{00000000-0008-0000-0600-0000D7E12300}"/>
              </a:ext>
            </a:extLst>
          </xdr:cNvPr>
          <xdr:cNvSpPr>
            <a:spLocks noChangeArrowheads="1"/>
          </xdr:cNvSpPr>
        </xdr:nvSpPr>
        <xdr:spPr bwMode="auto">
          <a:xfrm>
            <a:off x="748" y="3979"/>
            <a:ext cx="6" cy="132"/>
          </a:xfrm>
          <a:prstGeom prst="rect">
            <a:avLst/>
          </a:prstGeom>
          <a:solidFill>
            <a:srgbClr val="000000"/>
          </a:solidFill>
          <a:ln w="9525">
            <a:noFill/>
            <a:miter lim="800000"/>
            <a:headEnd/>
            <a:tailEnd/>
          </a:ln>
        </xdr:spPr>
      </xdr:sp>
      <xdr:sp macro="" textlink="">
        <xdr:nvSpPr>
          <xdr:cNvPr id="2351576" name="Line 276">
            <a:extLst>
              <a:ext uri="{FF2B5EF4-FFF2-40B4-BE49-F238E27FC236}">
                <a16:creationId xmlns:a16="http://schemas.microsoft.com/office/drawing/2014/main" id="{00000000-0008-0000-0600-0000D8E12300}"/>
              </a:ext>
            </a:extLst>
          </xdr:cNvPr>
          <xdr:cNvSpPr>
            <a:spLocks noChangeShapeType="1"/>
          </xdr:cNvSpPr>
        </xdr:nvSpPr>
        <xdr:spPr bwMode="auto">
          <a:xfrm>
            <a:off x="2092" y="3985"/>
            <a:ext cx="1" cy="126"/>
          </a:xfrm>
          <a:prstGeom prst="line">
            <a:avLst/>
          </a:prstGeom>
          <a:noFill/>
          <a:ln w="0">
            <a:solidFill>
              <a:srgbClr val="000000"/>
            </a:solidFill>
            <a:round/>
            <a:headEnd/>
            <a:tailEnd/>
          </a:ln>
        </xdr:spPr>
      </xdr:sp>
      <xdr:sp macro="" textlink="">
        <xdr:nvSpPr>
          <xdr:cNvPr id="2351577" name="Rectangle 277">
            <a:extLst>
              <a:ext uri="{FF2B5EF4-FFF2-40B4-BE49-F238E27FC236}">
                <a16:creationId xmlns:a16="http://schemas.microsoft.com/office/drawing/2014/main" id="{00000000-0008-0000-0600-0000D9E12300}"/>
              </a:ext>
            </a:extLst>
          </xdr:cNvPr>
          <xdr:cNvSpPr>
            <a:spLocks noChangeArrowheads="1"/>
          </xdr:cNvSpPr>
        </xdr:nvSpPr>
        <xdr:spPr bwMode="auto">
          <a:xfrm>
            <a:off x="2092" y="3985"/>
            <a:ext cx="6" cy="126"/>
          </a:xfrm>
          <a:prstGeom prst="rect">
            <a:avLst/>
          </a:prstGeom>
          <a:solidFill>
            <a:srgbClr val="000000"/>
          </a:solidFill>
          <a:ln w="9525">
            <a:noFill/>
            <a:miter lim="800000"/>
            <a:headEnd/>
            <a:tailEnd/>
          </a:ln>
        </xdr:spPr>
      </xdr:sp>
      <xdr:sp macro="" textlink="">
        <xdr:nvSpPr>
          <xdr:cNvPr id="2351578" name="Line 278">
            <a:extLst>
              <a:ext uri="{FF2B5EF4-FFF2-40B4-BE49-F238E27FC236}">
                <a16:creationId xmlns:a16="http://schemas.microsoft.com/office/drawing/2014/main" id="{00000000-0008-0000-0600-0000DAE12300}"/>
              </a:ext>
            </a:extLst>
          </xdr:cNvPr>
          <xdr:cNvSpPr>
            <a:spLocks noChangeShapeType="1"/>
          </xdr:cNvSpPr>
        </xdr:nvSpPr>
        <xdr:spPr bwMode="auto">
          <a:xfrm>
            <a:off x="2770" y="3985"/>
            <a:ext cx="1" cy="126"/>
          </a:xfrm>
          <a:prstGeom prst="line">
            <a:avLst/>
          </a:prstGeom>
          <a:noFill/>
          <a:ln w="0">
            <a:solidFill>
              <a:srgbClr val="000000"/>
            </a:solidFill>
            <a:round/>
            <a:headEnd/>
            <a:tailEnd/>
          </a:ln>
        </xdr:spPr>
      </xdr:sp>
      <xdr:sp macro="" textlink="">
        <xdr:nvSpPr>
          <xdr:cNvPr id="2351579" name="Rectangle 279">
            <a:extLst>
              <a:ext uri="{FF2B5EF4-FFF2-40B4-BE49-F238E27FC236}">
                <a16:creationId xmlns:a16="http://schemas.microsoft.com/office/drawing/2014/main" id="{00000000-0008-0000-0600-0000DBE12300}"/>
              </a:ext>
            </a:extLst>
          </xdr:cNvPr>
          <xdr:cNvSpPr>
            <a:spLocks noChangeArrowheads="1"/>
          </xdr:cNvSpPr>
        </xdr:nvSpPr>
        <xdr:spPr bwMode="auto">
          <a:xfrm>
            <a:off x="2770" y="3985"/>
            <a:ext cx="6" cy="126"/>
          </a:xfrm>
          <a:prstGeom prst="rect">
            <a:avLst/>
          </a:prstGeom>
          <a:solidFill>
            <a:srgbClr val="000000"/>
          </a:solidFill>
          <a:ln w="9525">
            <a:noFill/>
            <a:miter lim="800000"/>
            <a:headEnd/>
            <a:tailEnd/>
          </a:ln>
        </xdr:spPr>
      </xdr:sp>
      <xdr:sp macro="" textlink="">
        <xdr:nvSpPr>
          <xdr:cNvPr id="2351580" name="Line 280">
            <a:extLst>
              <a:ext uri="{FF2B5EF4-FFF2-40B4-BE49-F238E27FC236}">
                <a16:creationId xmlns:a16="http://schemas.microsoft.com/office/drawing/2014/main" id="{00000000-0008-0000-0600-0000DCE12300}"/>
              </a:ext>
            </a:extLst>
          </xdr:cNvPr>
          <xdr:cNvSpPr>
            <a:spLocks noChangeShapeType="1"/>
          </xdr:cNvSpPr>
        </xdr:nvSpPr>
        <xdr:spPr bwMode="auto">
          <a:xfrm>
            <a:off x="754" y="4105"/>
            <a:ext cx="2682" cy="1"/>
          </a:xfrm>
          <a:prstGeom prst="line">
            <a:avLst/>
          </a:prstGeom>
          <a:noFill/>
          <a:ln w="0">
            <a:solidFill>
              <a:srgbClr val="000000"/>
            </a:solidFill>
            <a:round/>
            <a:headEnd/>
            <a:tailEnd/>
          </a:ln>
        </xdr:spPr>
      </xdr:sp>
      <xdr:sp macro="" textlink="">
        <xdr:nvSpPr>
          <xdr:cNvPr id="2351581" name="Rectangle 281">
            <a:extLst>
              <a:ext uri="{FF2B5EF4-FFF2-40B4-BE49-F238E27FC236}">
                <a16:creationId xmlns:a16="http://schemas.microsoft.com/office/drawing/2014/main" id="{00000000-0008-0000-0600-0000DDE12300}"/>
              </a:ext>
            </a:extLst>
          </xdr:cNvPr>
          <xdr:cNvSpPr>
            <a:spLocks noChangeArrowheads="1"/>
          </xdr:cNvSpPr>
        </xdr:nvSpPr>
        <xdr:spPr bwMode="auto">
          <a:xfrm>
            <a:off x="754" y="4105"/>
            <a:ext cx="2682" cy="6"/>
          </a:xfrm>
          <a:prstGeom prst="rect">
            <a:avLst/>
          </a:prstGeom>
          <a:solidFill>
            <a:srgbClr val="000000"/>
          </a:solidFill>
          <a:ln w="9525">
            <a:noFill/>
            <a:miter lim="800000"/>
            <a:headEnd/>
            <a:tailEnd/>
          </a:ln>
        </xdr:spPr>
      </xdr:sp>
      <xdr:sp macro="" textlink="">
        <xdr:nvSpPr>
          <xdr:cNvPr id="2351582" name="Line 282">
            <a:extLst>
              <a:ext uri="{FF2B5EF4-FFF2-40B4-BE49-F238E27FC236}">
                <a16:creationId xmlns:a16="http://schemas.microsoft.com/office/drawing/2014/main" id="{00000000-0008-0000-0600-0000DEE12300}"/>
              </a:ext>
            </a:extLst>
          </xdr:cNvPr>
          <xdr:cNvSpPr>
            <a:spLocks noChangeShapeType="1"/>
          </xdr:cNvSpPr>
        </xdr:nvSpPr>
        <xdr:spPr bwMode="auto">
          <a:xfrm>
            <a:off x="3430" y="3985"/>
            <a:ext cx="1" cy="126"/>
          </a:xfrm>
          <a:prstGeom prst="line">
            <a:avLst/>
          </a:prstGeom>
          <a:noFill/>
          <a:ln w="0">
            <a:solidFill>
              <a:srgbClr val="000000"/>
            </a:solidFill>
            <a:round/>
            <a:headEnd/>
            <a:tailEnd/>
          </a:ln>
        </xdr:spPr>
      </xdr:sp>
      <xdr:sp macro="" textlink="">
        <xdr:nvSpPr>
          <xdr:cNvPr id="2351583" name="Rectangle 283">
            <a:extLst>
              <a:ext uri="{FF2B5EF4-FFF2-40B4-BE49-F238E27FC236}">
                <a16:creationId xmlns:a16="http://schemas.microsoft.com/office/drawing/2014/main" id="{00000000-0008-0000-0600-0000DFE12300}"/>
              </a:ext>
            </a:extLst>
          </xdr:cNvPr>
          <xdr:cNvSpPr>
            <a:spLocks noChangeArrowheads="1"/>
          </xdr:cNvSpPr>
        </xdr:nvSpPr>
        <xdr:spPr bwMode="auto">
          <a:xfrm>
            <a:off x="3430" y="3985"/>
            <a:ext cx="6" cy="126"/>
          </a:xfrm>
          <a:prstGeom prst="rect">
            <a:avLst/>
          </a:prstGeom>
          <a:solidFill>
            <a:srgbClr val="000000"/>
          </a:solidFill>
          <a:ln w="9525">
            <a:noFill/>
            <a:miter lim="800000"/>
            <a:headEnd/>
            <a:tailEnd/>
          </a:ln>
        </xdr:spPr>
      </xdr:sp>
      <xdr:sp macro="" textlink="">
        <xdr:nvSpPr>
          <xdr:cNvPr id="2351584" name="Line 284">
            <a:extLst>
              <a:ext uri="{FF2B5EF4-FFF2-40B4-BE49-F238E27FC236}">
                <a16:creationId xmlns:a16="http://schemas.microsoft.com/office/drawing/2014/main" id="{00000000-0008-0000-0600-0000E0E12300}"/>
              </a:ext>
            </a:extLst>
          </xdr:cNvPr>
          <xdr:cNvSpPr>
            <a:spLocks noChangeShapeType="1"/>
          </xdr:cNvSpPr>
        </xdr:nvSpPr>
        <xdr:spPr bwMode="auto">
          <a:xfrm>
            <a:off x="748" y="4111"/>
            <a:ext cx="1" cy="1"/>
          </a:xfrm>
          <a:prstGeom prst="line">
            <a:avLst/>
          </a:prstGeom>
          <a:noFill/>
          <a:ln w="0">
            <a:solidFill>
              <a:srgbClr val="D0D7E5"/>
            </a:solidFill>
            <a:round/>
            <a:headEnd/>
            <a:tailEnd/>
          </a:ln>
        </xdr:spPr>
      </xdr:sp>
      <xdr:sp macro="" textlink="">
        <xdr:nvSpPr>
          <xdr:cNvPr id="2351585" name="Rectangle 285">
            <a:extLst>
              <a:ext uri="{FF2B5EF4-FFF2-40B4-BE49-F238E27FC236}">
                <a16:creationId xmlns:a16="http://schemas.microsoft.com/office/drawing/2014/main" id="{00000000-0008-0000-0600-0000E1E12300}"/>
              </a:ext>
            </a:extLst>
          </xdr:cNvPr>
          <xdr:cNvSpPr>
            <a:spLocks noChangeArrowheads="1"/>
          </xdr:cNvSpPr>
        </xdr:nvSpPr>
        <xdr:spPr bwMode="auto">
          <a:xfrm>
            <a:off x="748" y="4111"/>
            <a:ext cx="6" cy="6"/>
          </a:xfrm>
          <a:prstGeom prst="rect">
            <a:avLst/>
          </a:prstGeom>
          <a:solidFill>
            <a:srgbClr val="D0D7E5"/>
          </a:solidFill>
          <a:ln w="9525">
            <a:noFill/>
            <a:miter lim="800000"/>
            <a:headEnd/>
            <a:tailEnd/>
          </a:ln>
        </xdr:spPr>
      </xdr:sp>
      <xdr:sp macro="" textlink="">
        <xdr:nvSpPr>
          <xdr:cNvPr id="2351586" name="Line 286">
            <a:extLst>
              <a:ext uri="{FF2B5EF4-FFF2-40B4-BE49-F238E27FC236}">
                <a16:creationId xmlns:a16="http://schemas.microsoft.com/office/drawing/2014/main" id="{00000000-0008-0000-0600-0000E2E12300}"/>
              </a:ext>
            </a:extLst>
          </xdr:cNvPr>
          <xdr:cNvSpPr>
            <a:spLocks noChangeShapeType="1"/>
          </xdr:cNvSpPr>
        </xdr:nvSpPr>
        <xdr:spPr bwMode="auto">
          <a:xfrm>
            <a:off x="2092" y="4111"/>
            <a:ext cx="1" cy="1"/>
          </a:xfrm>
          <a:prstGeom prst="line">
            <a:avLst/>
          </a:prstGeom>
          <a:noFill/>
          <a:ln w="0">
            <a:solidFill>
              <a:srgbClr val="D0D7E5"/>
            </a:solidFill>
            <a:round/>
            <a:headEnd/>
            <a:tailEnd/>
          </a:ln>
        </xdr:spPr>
      </xdr:sp>
      <xdr:sp macro="" textlink="">
        <xdr:nvSpPr>
          <xdr:cNvPr id="2351587" name="Rectangle 287">
            <a:extLst>
              <a:ext uri="{FF2B5EF4-FFF2-40B4-BE49-F238E27FC236}">
                <a16:creationId xmlns:a16="http://schemas.microsoft.com/office/drawing/2014/main" id="{00000000-0008-0000-0600-0000E3E12300}"/>
              </a:ext>
            </a:extLst>
          </xdr:cNvPr>
          <xdr:cNvSpPr>
            <a:spLocks noChangeArrowheads="1"/>
          </xdr:cNvSpPr>
        </xdr:nvSpPr>
        <xdr:spPr bwMode="auto">
          <a:xfrm>
            <a:off x="2092" y="4111"/>
            <a:ext cx="6" cy="6"/>
          </a:xfrm>
          <a:prstGeom prst="rect">
            <a:avLst/>
          </a:prstGeom>
          <a:solidFill>
            <a:srgbClr val="D0D7E5"/>
          </a:solidFill>
          <a:ln w="9525">
            <a:noFill/>
            <a:miter lim="800000"/>
            <a:headEnd/>
            <a:tailEnd/>
          </a:ln>
        </xdr:spPr>
      </xdr:sp>
      <xdr:sp macro="" textlink="">
        <xdr:nvSpPr>
          <xdr:cNvPr id="2351588" name="Line 288">
            <a:extLst>
              <a:ext uri="{FF2B5EF4-FFF2-40B4-BE49-F238E27FC236}">
                <a16:creationId xmlns:a16="http://schemas.microsoft.com/office/drawing/2014/main" id="{00000000-0008-0000-0600-0000E4E12300}"/>
              </a:ext>
            </a:extLst>
          </xdr:cNvPr>
          <xdr:cNvSpPr>
            <a:spLocks noChangeShapeType="1"/>
          </xdr:cNvSpPr>
        </xdr:nvSpPr>
        <xdr:spPr bwMode="auto">
          <a:xfrm>
            <a:off x="2770" y="4111"/>
            <a:ext cx="1" cy="1"/>
          </a:xfrm>
          <a:prstGeom prst="line">
            <a:avLst/>
          </a:prstGeom>
          <a:noFill/>
          <a:ln w="0">
            <a:solidFill>
              <a:srgbClr val="D0D7E5"/>
            </a:solidFill>
            <a:round/>
            <a:headEnd/>
            <a:tailEnd/>
          </a:ln>
        </xdr:spPr>
      </xdr:sp>
      <xdr:sp macro="" textlink="">
        <xdr:nvSpPr>
          <xdr:cNvPr id="2351589" name="Rectangle 289">
            <a:extLst>
              <a:ext uri="{FF2B5EF4-FFF2-40B4-BE49-F238E27FC236}">
                <a16:creationId xmlns:a16="http://schemas.microsoft.com/office/drawing/2014/main" id="{00000000-0008-0000-0600-0000E5E12300}"/>
              </a:ext>
            </a:extLst>
          </xdr:cNvPr>
          <xdr:cNvSpPr>
            <a:spLocks noChangeArrowheads="1"/>
          </xdr:cNvSpPr>
        </xdr:nvSpPr>
        <xdr:spPr bwMode="auto">
          <a:xfrm>
            <a:off x="2770" y="4111"/>
            <a:ext cx="6" cy="6"/>
          </a:xfrm>
          <a:prstGeom prst="rect">
            <a:avLst/>
          </a:prstGeom>
          <a:solidFill>
            <a:srgbClr val="D0D7E5"/>
          </a:solidFill>
          <a:ln w="9525">
            <a:noFill/>
            <a:miter lim="800000"/>
            <a:headEnd/>
            <a:tailEnd/>
          </a:ln>
        </xdr:spPr>
      </xdr:sp>
      <xdr:sp macro="" textlink="">
        <xdr:nvSpPr>
          <xdr:cNvPr id="2351590" name="Line 290">
            <a:extLst>
              <a:ext uri="{FF2B5EF4-FFF2-40B4-BE49-F238E27FC236}">
                <a16:creationId xmlns:a16="http://schemas.microsoft.com/office/drawing/2014/main" id="{00000000-0008-0000-0600-0000E6E12300}"/>
              </a:ext>
            </a:extLst>
          </xdr:cNvPr>
          <xdr:cNvSpPr>
            <a:spLocks noChangeShapeType="1"/>
          </xdr:cNvSpPr>
        </xdr:nvSpPr>
        <xdr:spPr bwMode="auto">
          <a:xfrm>
            <a:off x="3430" y="4111"/>
            <a:ext cx="1" cy="1"/>
          </a:xfrm>
          <a:prstGeom prst="line">
            <a:avLst/>
          </a:prstGeom>
          <a:noFill/>
          <a:ln w="0">
            <a:solidFill>
              <a:srgbClr val="D0D7E5"/>
            </a:solidFill>
            <a:round/>
            <a:headEnd/>
            <a:tailEnd/>
          </a:ln>
        </xdr:spPr>
      </xdr:sp>
      <xdr:sp macro="" textlink="">
        <xdr:nvSpPr>
          <xdr:cNvPr id="2351591" name="Rectangle 291">
            <a:extLst>
              <a:ext uri="{FF2B5EF4-FFF2-40B4-BE49-F238E27FC236}">
                <a16:creationId xmlns:a16="http://schemas.microsoft.com/office/drawing/2014/main" id="{00000000-0008-0000-0600-0000E7E12300}"/>
              </a:ext>
            </a:extLst>
          </xdr:cNvPr>
          <xdr:cNvSpPr>
            <a:spLocks noChangeArrowheads="1"/>
          </xdr:cNvSpPr>
        </xdr:nvSpPr>
        <xdr:spPr bwMode="auto">
          <a:xfrm>
            <a:off x="3430" y="4111"/>
            <a:ext cx="6" cy="6"/>
          </a:xfrm>
          <a:prstGeom prst="rect">
            <a:avLst/>
          </a:prstGeom>
          <a:solidFill>
            <a:srgbClr val="D0D7E5"/>
          </a:solidFill>
          <a:ln w="9525">
            <a:noFill/>
            <a:miter lim="800000"/>
            <a:headEnd/>
            <a:tailEnd/>
          </a:ln>
        </xdr:spPr>
      </xdr:sp>
      <xdr:sp macro="" textlink="">
        <xdr:nvSpPr>
          <xdr:cNvPr id="2351592" name="Line 292">
            <a:extLst>
              <a:ext uri="{FF2B5EF4-FFF2-40B4-BE49-F238E27FC236}">
                <a16:creationId xmlns:a16="http://schemas.microsoft.com/office/drawing/2014/main" id="{00000000-0008-0000-0600-0000E8E12300}"/>
              </a:ext>
            </a:extLst>
          </xdr:cNvPr>
          <xdr:cNvSpPr>
            <a:spLocks noChangeShapeType="1"/>
          </xdr:cNvSpPr>
        </xdr:nvSpPr>
        <xdr:spPr bwMode="auto">
          <a:xfrm>
            <a:off x="5212" y="3241"/>
            <a:ext cx="1" cy="870"/>
          </a:xfrm>
          <a:prstGeom prst="line">
            <a:avLst/>
          </a:prstGeom>
          <a:noFill/>
          <a:ln w="0">
            <a:solidFill>
              <a:srgbClr val="D0D7E5"/>
            </a:solidFill>
            <a:round/>
            <a:headEnd/>
            <a:tailEnd/>
          </a:ln>
        </xdr:spPr>
      </xdr:sp>
      <xdr:sp macro="" textlink="">
        <xdr:nvSpPr>
          <xdr:cNvPr id="2351593" name="Rectangle 293">
            <a:extLst>
              <a:ext uri="{FF2B5EF4-FFF2-40B4-BE49-F238E27FC236}">
                <a16:creationId xmlns:a16="http://schemas.microsoft.com/office/drawing/2014/main" id="{00000000-0008-0000-0600-0000E9E12300}"/>
              </a:ext>
            </a:extLst>
          </xdr:cNvPr>
          <xdr:cNvSpPr>
            <a:spLocks noChangeArrowheads="1"/>
          </xdr:cNvSpPr>
        </xdr:nvSpPr>
        <xdr:spPr bwMode="auto">
          <a:xfrm>
            <a:off x="5212" y="3241"/>
            <a:ext cx="6" cy="876"/>
          </a:xfrm>
          <a:prstGeom prst="rect">
            <a:avLst/>
          </a:prstGeom>
          <a:solidFill>
            <a:srgbClr val="D0D7E5"/>
          </a:solidFill>
          <a:ln w="9525">
            <a:noFill/>
            <a:miter lim="800000"/>
            <a:headEnd/>
            <a:tailEnd/>
          </a:ln>
        </xdr:spPr>
      </xdr:sp>
      <xdr:sp macro="" textlink="">
        <xdr:nvSpPr>
          <xdr:cNvPr id="2351594" name="Line 294">
            <a:extLst>
              <a:ext uri="{FF2B5EF4-FFF2-40B4-BE49-F238E27FC236}">
                <a16:creationId xmlns:a16="http://schemas.microsoft.com/office/drawing/2014/main" id="{00000000-0008-0000-0600-0000EAE12300}"/>
              </a:ext>
            </a:extLst>
          </xdr:cNvPr>
          <xdr:cNvSpPr>
            <a:spLocks noChangeShapeType="1"/>
          </xdr:cNvSpPr>
        </xdr:nvSpPr>
        <xdr:spPr bwMode="auto">
          <a:xfrm>
            <a:off x="5218" y="799"/>
            <a:ext cx="1" cy="1"/>
          </a:xfrm>
          <a:prstGeom prst="line">
            <a:avLst/>
          </a:prstGeom>
          <a:noFill/>
          <a:ln w="0">
            <a:solidFill>
              <a:srgbClr val="D0D7E5"/>
            </a:solidFill>
            <a:round/>
            <a:headEnd/>
            <a:tailEnd/>
          </a:ln>
        </xdr:spPr>
      </xdr:sp>
      <xdr:sp macro="" textlink="">
        <xdr:nvSpPr>
          <xdr:cNvPr id="2351595" name="Rectangle 295">
            <a:extLst>
              <a:ext uri="{FF2B5EF4-FFF2-40B4-BE49-F238E27FC236}">
                <a16:creationId xmlns:a16="http://schemas.microsoft.com/office/drawing/2014/main" id="{00000000-0008-0000-0600-0000EBE12300}"/>
              </a:ext>
            </a:extLst>
          </xdr:cNvPr>
          <xdr:cNvSpPr>
            <a:spLocks noChangeArrowheads="1"/>
          </xdr:cNvSpPr>
        </xdr:nvSpPr>
        <xdr:spPr bwMode="auto">
          <a:xfrm>
            <a:off x="5218" y="799"/>
            <a:ext cx="6" cy="6"/>
          </a:xfrm>
          <a:prstGeom prst="rect">
            <a:avLst/>
          </a:prstGeom>
          <a:solidFill>
            <a:srgbClr val="D0D7E5"/>
          </a:solidFill>
          <a:ln w="9525">
            <a:noFill/>
            <a:miter lim="800000"/>
            <a:headEnd/>
            <a:tailEnd/>
          </a:ln>
        </xdr:spPr>
      </xdr:sp>
      <xdr:sp macro="" textlink="">
        <xdr:nvSpPr>
          <xdr:cNvPr id="2351596" name="Line 296">
            <a:extLst>
              <a:ext uri="{FF2B5EF4-FFF2-40B4-BE49-F238E27FC236}">
                <a16:creationId xmlns:a16="http://schemas.microsoft.com/office/drawing/2014/main" id="{00000000-0008-0000-0600-0000ECE12300}"/>
              </a:ext>
            </a:extLst>
          </xdr:cNvPr>
          <xdr:cNvSpPr>
            <a:spLocks noChangeShapeType="1"/>
          </xdr:cNvSpPr>
        </xdr:nvSpPr>
        <xdr:spPr bwMode="auto">
          <a:xfrm>
            <a:off x="5218" y="925"/>
            <a:ext cx="1" cy="1"/>
          </a:xfrm>
          <a:prstGeom prst="line">
            <a:avLst/>
          </a:prstGeom>
          <a:noFill/>
          <a:ln w="0">
            <a:solidFill>
              <a:srgbClr val="D0D7E5"/>
            </a:solidFill>
            <a:round/>
            <a:headEnd/>
            <a:tailEnd/>
          </a:ln>
        </xdr:spPr>
      </xdr:sp>
      <xdr:sp macro="" textlink="">
        <xdr:nvSpPr>
          <xdr:cNvPr id="2351597" name="Rectangle 297">
            <a:extLst>
              <a:ext uri="{FF2B5EF4-FFF2-40B4-BE49-F238E27FC236}">
                <a16:creationId xmlns:a16="http://schemas.microsoft.com/office/drawing/2014/main" id="{00000000-0008-0000-0600-0000EDE12300}"/>
              </a:ext>
            </a:extLst>
          </xdr:cNvPr>
          <xdr:cNvSpPr>
            <a:spLocks noChangeArrowheads="1"/>
          </xdr:cNvSpPr>
        </xdr:nvSpPr>
        <xdr:spPr bwMode="auto">
          <a:xfrm>
            <a:off x="5218" y="925"/>
            <a:ext cx="6" cy="6"/>
          </a:xfrm>
          <a:prstGeom prst="rect">
            <a:avLst/>
          </a:prstGeom>
          <a:solidFill>
            <a:srgbClr val="D0D7E5"/>
          </a:solidFill>
          <a:ln w="9525">
            <a:noFill/>
            <a:miter lim="800000"/>
            <a:headEnd/>
            <a:tailEnd/>
          </a:ln>
        </xdr:spPr>
      </xdr:sp>
      <xdr:sp macro="" textlink="">
        <xdr:nvSpPr>
          <xdr:cNvPr id="2351598" name="Line 298">
            <a:extLst>
              <a:ext uri="{FF2B5EF4-FFF2-40B4-BE49-F238E27FC236}">
                <a16:creationId xmlns:a16="http://schemas.microsoft.com/office/drawing/2014/main" id="{00000000-0008-0000-0600-0000EEE12300}"/>
              </a:ext>
            </a:extLst>
          </xdr:cNvPr>
          <xdr:cNvSpPr>
            <a:spLocks noChangeShapeType="1"/>
          </xdr:cNvSpPr>
        </xdr:nvSpPr>
        <xdr:spPr bwMode="auto">
          <a:xfrm>
            <a:off x="5218" y="1051"/>
            <a:ext cx="1" cy="1"/>
          </a:xfrm>
          <a:prstGeom prst="line">
            <a:avLst/>
          </a:prstGeom>
          <a:noFill/>
          <a:ln w="0">
            <a:solidFill>
              <a:srgbClr val="D0D7E5"/>
            </a:solidFill>
            <a:round/>
            <a:headEnd/>
            <a:tailEnd/>
          </a:ln>
        </xdr:spPr>
      </xdr:sp>
      <xdr:sp macro="" textlink="">
        <xdr:nvSpPr>
          <xdr:cNvPr id="2351599" name="Rectangle 299">
            <a:extLst>
              <a:ext uri="{FF2B5EF4-FFF2-40B4-BE49-F238E27FC236}">
                <a16:creationId xmlns:a16="http://schemas.microsoft.com/office/drawing/2014/main" id="{00000000-0008-0000-0600-0000EFE12300}"/>
              </a:ext>
            </a:extLst>
          </xdr:cNvPr>
          <xdr:cNvSpPr>
            <a:spLocks noChangeArrowheads="1"/>
          </xdr:cNvSpPr>
        </xdr:nvSpPr>
        <xdr:spPr bwMode="auto">
          <a:xfrm>
            <a:off x="5218" y="1051"/>
            <a:ext cx="6" cy="6"/>
          </a:xfrm>
          <a:prstGeom prst="rect">
            <a:avLst/>
          </a:prstGeom>
          <a:solidFill>
            <a:srgbClr val="D0D7E5"/>
          </a:solidFill>
          <a:ln w="9525">
            <a:noFill/>
            <a:miter lim="800000"/>
            <a:headEnd/>
            <a:tailEnd/>
          </a:ln>
        </xdr:spPr>
      </xdr:sp>
      <xdr:sp macro="" textlink="">
        <xdr:nvSpPr>
          <xdr:cNvPr id="2351600" name="Line 300">
            <a:extLst>
              <a:ext uri="{FF2B5EF4-FFF2-40B4-BE49-F238E27FC236}">
                <a16:creationId xmlns:a16="http://schemas.microsoft.com/office/drawing/2014/main" id="{00000000-0008-0000-0600-0000F0E12300}"/>
              </a:ext>
            </a:extLst>
          </xdr:cNvPr>
          <xdr:cNvSpPr>
            <a:spLocks noChangeShapeType="1"/>
          </xdr:cNvSpPr>
        </xdr:nvSpPr>
        <xdr:spPr bwMode="auto">
          <a:xfrm>
            <a:off x="5218" y="1177"/>
            <a:ext cx="1" cy="1"/>
          </a:xfrm>
          <a:prstGeom prst="line">
            <a:avLst/>
          </a:prstGeom>
          <a:noFill/>
          <a:ln w="0">
            <a:solidFill>
              <a:srgbClr val="D0D7E5"/>
            </a:solidFill>
            <a:round/>
            <a:headEnd/>
            <a:tailEnd/>
          </a:ln>
        </xdr:spPr>
      </xdr:sp>
      <xdr:sp macro="" textlink="">
        <xdr:nvSpPr>
          <xdr:cNvPr id="2351601" name="Rectangle 301">
            <a:extLst>
              <a:ext uri="{FF2B5EF4-FFF2-40B4-BE49-F238E27FC236}">
                <a16:creationId xmlns:a16="http://schemas.microsoft.com/office/drawing/2014/main" id="{00000000-0008-0000-0600-0000F1E12300}"/>
              </a:ext>
            </a:extLst>
          </xdr:cNvPr>
          <xdr:cNvSpPr>
            <a:spLocks noChangeArrowheads="1"/>
          </xdr:cNvSpPr>
        </xdr:nvSpPr>
        <xdr:spPr bwMode="auto">
          <a:xfrm>
            <a:off x="5218" y="1177"/>
            <a:ext cx="6" cy="6"/>
          </a:xfrm>
          <a:prstGeom prst="rect">
            <a:avLst/>
          </a:prstGeom>
          <a:solidFill>
            <a:srgbClr val="D0D7E5"/>
          </a:solidFill>
          <a:ln w="9525">
            <a:noFill/>
            <a:miter lim="800000"/>
            <a:headEnd/>
            <a:tailEnd/>
          </a:ln>
        </xdr:spPr>
      </xdr:sp>
      <xdr:sp macro="" textlink="">
        <xdr:nvSpPr>
          <xdr:cNvPr id="2351602" name="Line 302">
            <a:extLst>
              <a:ext uri="{FF2B5EF4-FFF2-40B4-BE49-F238E27FC236}">
                <a16:creationId xmlns:a16="http://schemas.microsoft.com/office/drawing/2014/main" id="{00000000-0008-0000-0600-0000F2E12300}"/>
              </a:ext>
            </a:extLst>
          </xdr:cNvPr>
          <xdr:cNvSpPr>
            <a:spLocks noChangeShapeType="1"/>
          </xdr:cNvSpPr>
        </xdr:nvSpPr>
        <xdr:spPr bwMode="auto">
          <a:xfrm>
            <a:off x="5218" y="1297"/>
            <a:ext cx="1" cy="1"/>
          </a:xfrm>
          <a:prstGeom prst="line">
            <a:avLst/>
          </a:prstGeom>
          <a:noFill/>
          <a:ln w="0">
            <a:solidFill>
              <a:srgbClr val="D0D7E5"/>
            </a:solidFill>
            <a:round/>
            <a:headEnd/>
            <a:tailEnd/>
          </a:ln>
        </xdr:spPr>
      </xdr:sp>
      <xdr:sp macro="" textlink="">
        <xdr:nvSpPr>
          <xdr:cNvPr id="2351603" name="Rectangle 303">
            <a:extLst>
              <a:ext uri="{FF2B5EF4-FFF2-40B4-BE49-F238E27FC236}">
                <a16:creationId xmlns:a16="http://schemas.microsoft.com/office/drawing/2014/main" id="{00000000-0008-0000-0600-0000F3E12300}"/>
              </a:ext>
            </a:extLst>
          </xdr:cNvPr>
          <xdr:cNvSpPr>
            <a:spLocks noChangeArrowheads="1"/>
          </xdr:cNvSpPr>
        </xdr:nvSpPr>
        <xdr:spPr bwMode="auto">
          <a:xfrm>
            <a:off x="5218" y="1297"/>
            <a:ext cx="6" cy="6"/>
          </a:xfrm>
          <a:prstGeom prst="rect">
            <a:avLst/>
          </a:prstGeom>
          <a:solidFill>
            <a:srgbClr val="D0D7E5"/>
          </a:solidFill>
          <a:ln w="9525">
            <a:noFill/>
            <a:miter lim="800000"/>
            <a:headEnd/>
            <a:tailEnd/>
          </a:ln>
        </xdr:spPr>
      </xdr:sp>
      <xdr:sp macro="" textlink="">
        <xdr:nvSpPr>
          <xdr:cNvPr id="2351604" name="Line 304">
            <a:extLst>
              <a:ext uri="{FF2B5EF4-FFF2-40B4-BE49-F238E27FC236}">
                <a16:creationId xmlns:a16="http://schemas.microsoft.com/office/drawing/2014/main" id="{00000000-0008-0000-0600-0000F4E12300}"/>
              </a:ext>
            </a:extLst>
          </xdr:cNvPr>
          <xdr:cNvSpPr>
            <a:spLocks noChangeShapeType="1"/>
          </xdr:cNvSpPr>
        </xdr:nvSpPr>
        <xdr:spPr bwMode="auto">
          <a:xfrm>
            <a:off x="2098" y="1417"/>
            <a:ext cx="3120" cy="1"/>
          </a:xfrm>
          <a:prstGeom prst="line">
            <a:avLst/>
          </a:prstGeom>
          <a:noFill/>
          <a:ln w="0">
            <a:solidFill>
              <a:srgbClr val="D0D7E5"/>
            </a:solidFill>
            <a:round/>
            <a:headEnd/>
            <a:tailEnd/>
          </a:ln>
        </xdr:spPr>
      </xdr:sp>
      <xdr:sp macro="" textlink="">
        <xdr:nvSpPr>
          <xdr:cNvPr id="2351605" name="Rectangle 305">
            <a:extLst>
              <a:ext uri="{FF2B5EF4-FFF2-40B4-BE49-F238E27FC236}">
                <a16:creationId xmlns:a16="http://schemas.microsoft.com/office/drawing/2014/main" id="{00000000-0008-0000-0600-0000F5E12300}"/>
              </a:ext>
            </a:extLst>
          </xdr:cNvPr>
          <xdr:cNvSpPr>
            <a:spLocks noChangeArrowheads="1"/>
          </xdr:cNvSpPr>
        </xdr:nvSpPr>
        <xdr:spPr bwMode="auto">
          <a:xfrm>
            <a:off x="2110" y="1417"/>
            <a:ext cx="3126" cy="6"/>
          </a:xfrm>
          <a:prstGeom prst="rect">
            <a:avLst/>
          </a:prstGeom>
          <a:solidFill>
            <a:srgbClr val="D0D7E5"/>
          </a:solidFill>
          <a:ln w="9525">
            <a:noFill/>
            <a:miter lim="800000"/>
            <a:headEnd/>
            <a:tailEnd/>
          </a:ln>
        </xdr:spPr>
      </xdr:sp>
      <xdr:sp macro="" textlink="">
        <xdr:nvSpPr>
          <xdr:cNvPr id="2351606" name="Line 306">
            <a:extLst>
              <a:ext uri="{FF2B5EF4-FFF2-40B4-BE49-F238E27FC236}">
                <a16:creationId xmlns:a16="http://schemas.microsoft.com/office/drawing/2014/main" id="{00000000-0008-0000-0600-0000F6E12300}"/>
              </a:ext>
            </a:extLst>
          </xdr:cNvPr>
          <xdr:cNvSpPr>
            <a:spLocks noChangeShapeType="1"/>
          </xdr:cNvSpPr>
        </xdr:nvSpPr>
        <xdr:spPr bwMode="auto">
          <a:xfrm>
            <a:off x="5218" y="1543"/>
            <a:ext cx="1" cy="1"/>
          </a:xfrm>
          <a:prstGeom prst="line">
            <a:avLst/>
          </a:prstGeom>
          <a:noFill/>
          <a:ln w="0">
            <a:solidFill>
              <a:srgbClr val="D0D7E5"/>
            </a:solidFill>
            <a:round/>
            <a:headEnd/>
            <a:tailEnd/>
          </a:ln>
        </xdr:spPr>
      </xdr:sp>
      <xdr:sp macro="" textlink="">
        <xdr:nvSpPr>
          <xdr:cNvPr id="2351607" name="Rectangle 307">
            <a:extLst>
              <a:ext uri="{FF2B5EF4-FFF2-40B4-BE49-F238E27FC236}">
                <a16:creationId xmlns:a16="http://schemas.microsoft.com/office/drawing/2014/main" id="{00000000-0008-0000-0600-0000F7E12300}"/>
              </a:ext>
            </a:extLst>
          </xdr:cNvPr>
          <xdr:cNvSpPr>
            <a:spLocks noChangeArrowheads="1"/>
          </xdr:cNvSpPr>
        </xdr:nvSpPr>
        <xdr:spPr bwMode="auto">
          <a:xfrm>
            <a:off x="5218" y="1543"/>
            <a:ext cx="6" cy="6"/>
          </a:xfrm>
          <a:prstGeom prst="rect">
            <a:avLst/>
          </a:prstGeom>
          <a:solidFill>
            <a:srgbClr val="D0D7E5"/>
          </a:solidFill>
          <a:ln w="9525">
            <a:noFill/>
            <a:miter lim="800000"/>
            <a:headEnd/>
            <a:tailEnd/>
          </a:ln>
        </xdr:spPr>
      </xdr:sp>
      <xdr:sp macro="" textlink="">
        <xdr:nvSpPr>
          <xdr:cNvPr id="2351608" name="Line 308">
            <a:extLst>
              <a:ext uri="{FF2B5EF4-FFF2-40B4-BE49-F238E27FC236}">
                <a16:creationId xmlns:a16="http://schemas.microsoft.com/office/drawing/2014/main" id="{00000000-0008-0000-0600-0000F8E12300}"/>
              </a:ext>
            </a:extLst>
          </xdr:cNvPr>
          <xdr:cNvSpPr>
            <a:spLocks noChangeShapeType="1"/>
          </xdr:cNvSpPr>
        </xdr:nvSpPr>
        <xdr:spPr bwMode="auto">
          <a:xfrm>
            <a:off x="5218" y="1663"/>
            <a:ext cx="1" cy="1"/>
          </a:xfrm>
          <a:prstGeom prst="line">
            <a:avLst/>
          </a:prstGeom>
          <a:noFill/>
          <a:ln w="0">
            <a:solidFill>
              <a:srgbClr val="D0D7E5"/>
            </a:solidFill>
            <a:round/>
            <a:headEnd/>
            <a:tailEnd/>
          </a:ln>
        </xdr:spPr>
      </xdr:sp>
      <xdr:sp macro="" textlink="">
        <xdr:nvSpPr>
          <xdr:cNvPr id="2351609" name="Rectangle 309">
            <a:extLst>
              <a:ext uri="{FF2B5EF4-FFF2-40B4-BE49-F238E27FC236}">
                <a16:creationId xmlns:a16="http://schemas.microsoft.com/office/drawing/2014/main" id="{00000000-0008-0000-0600-0000F9E12300}"/>
              </a:ext>
            </a:extLst>
          </xdr:cNvPr>
          <xdr:cNvSpPr>
            <a:spLocks noChangeArrowheads="1"/>
          </xdr:cNvSpPr>
        </xdr:nvSpPr>
        <xdr:spPr bwMode="auto">
          <a:xfrm>
            <a:off x="5218" y="1663"/>
            <a:ext cx="6" cy="6"/>
          </a:xfrm>
          <a:prstGeom prst="rect">
            <a:avLst/>
          </a:prstGeom>
          <a:solidFill>
            <a:srgbClr val="D0D7E5"/>
          </a:solidFill>
          <a:ln w="9525">
            <a:noFill/>
            <a:miter lim="800000"/>
            <a:headEnd/>
            <a:tailEnd/>
          </a:ln>
        </xdr:spPr>
      </xdr:sp>
      <xdr:sp macro="" textlink="">
        <xdr:nvSpPr>
          <xdr:cNvPr id="2351610" name="Line 310">
            <a:extLst>
              <a:ext uri="{FF2B5EF4-FFF2-40B4-BE49-F238E27FC236}">
                <a16:creationId xmlns:a16="http://schemas.microsoft.com/office/drawing/2014/main" id="{00000000-0008-0000-0600-0000FAE12300}"/>
              </a:ext>
            </a:extLst>
          </xdr:cNvPr>
          <xdr:cNvSpPr>
            <a:spLocks noChangeShapeType="1"/>
          </xdr:cNvSpPr>
        </xdr:nvSpPr>
        <xdr:spPr bwMode="auto">
          <a:xfrm>
            <a:off x="5218" y="1783"/>
            <a:ext cx="1" cy="1"/>
          </a:xfrm>
          <a:prstGeom prst="line">
            <a:avLst/>
          </a:prstGeom>
          <a:noFill/>
          <a:ln w="0">
            <a:solidFill>
              <a:srgbClr val="D0D7E5"/>
            </a:solidFill>
            <a:round/>
            <a:headEnd/>
            <a:tailEnd/>
          </a:ln>
        </xdr:spPr>
      </xdr:sp>
      <xdr:sp macro="" textlink="">
        <xdr:nvSpPr>
          <xdr:cNvPr id="2351611" name="Rectangle 311">
            <a:extLst>
              <a:ext uri="{FF2B5EF4-FFF2-40B4-BE49-F238E27FC236}">
                <a16:creationId xmlns:a16="http://schemas.microsoft.com/office/drawing/2014/main" id="{00000000-0008-0000-0600-0000FBE12300}"/>
              </a:ext>
            </a:extLst>
          </xdr:cNvPr>
          <xdr:cNvSpPr>
            <a:spLocks noChangeArrowheads="1"/>
          </xdr:cNvSpPr>
        </xdr:nvSpPr>
        <xdr:spPr bwMode="auto">
          <a:xfrm>
            <a:off x="5218" y="1783"/>
            <a:ext cx="6" cy="6"/>
          </a:xfrm>
          <a:prstGeom prst="rect">
            <a:avLst/>
          </a:prstGeom>
          <a:solidFill>
            <a:srgbClr val="D0D7E5"/>
          </a:solidFill>
          <a:ln w="9525">
            <a:noFill/>
            <a:miter lim="800000"/>
            <a:headEnd/>
            <a:tailEnd/>
          </a:ln>
        </xdr:spPr>
      </xdr:sp>
      <xdr:sp macro="" textlink="">
        <xdr:nvSpPr>
          <xdr:cNvPr id="2351612" name="Line 312">
            <a:extLst>
              <a:ext uri="{FF2B5EF4-FFF2-40B4-BE49-F238E27FC236}">
                <a16:creationId xmlns:a16="http://schemas.microsoft.com/office/drawing/2014/main" id="{00000000-0008-0000-0600-0000FCE12300}"/>
              </a:ext>
            </a:extLst>
          </xdr:cNvPr>
          <xdr:cNvSpPr>
            <a:spLocks noChangeShapeType="1"/>
          </xdr:cNvSpPr>
        </xdr:nvSpPr>
        <xdr:spPr bwMode="auto">
          <a:xfrm>
            <a:off x="5218" y="1903"/>
            <a:ext cx="1" cy="1"/>
          </a:xfrm>
          <a:prstGeom prst="line">
            <a:avLst/>
          </a:prstGeom>
          <a:noFill/>
          <a:ln w="0">
            <a:solidFill>
              <a:srgbClr val="D0D7E5"/>
            </a:solidFill>
            <a:round/>
            <a:headEnd/>
            <a:tailEnd/>
          </a:ln>
        </xdr:spPr>
      </xdr:sp>
      <xdr:sp macro="" textlink="">
        <xdr:nvSpPr>
          <xdr:cNvPr id="2351613" name="Rectangle 313">
            <a:extLst>
              <a:ext uri="{FF2B5EF4-FFF2-40B4-BE49-F238E27FC236}">
                <a16:creationId xmlns:a16="http://schemas.microsoft.com/office/drawing/2014/main" id="{00000000-0008-0000-0600-0000FDE12300}"/>
              </a:ext>
            </a:extLst>
          </xdr:cNvPr>
          <xdr:cNvSpPr>
            <a:spLocks noChangeArrowheads="1"/>
          </xdr:cNvSpPr>
        </xdr:nvSpPr>
        <xdr:spPr bwMode="auto">
          <a:xfrm>
            <a:off x="5218" y="1903"/>
            <a:ext cx="6" cy="6"/>
          </a:xfrm>
          <a:prstGeom prst="rect">
            <a:avLst/>
          </a:prstGeom>
          <a:solidFill>
            <a:srgbClr val="D0D7E5"/>
          </a:solidFill>
          <a:ln w="9525">
            <a:noFill/>
            <a:miter lim="800000"/>
            <a:headEnd/>
            <a:tailEnd/>
          </a:ln>
        </xdr:spPr>
      </xdr:sp>
      <xdr:sp macro="" textlink="">
        <xdr:nvSpPr>
          <xdr:cNvPr id="2351614" name="Line 314">
            <a:extLst>
              <a:ext uri="{FF2B5EF4-FFF2-40B4-BE49-F238E27FC236}">
                <a16:creationId xmlns:a16="http://schemas.microsoft.com/office/drawing/2014/main" id="{00000000-0008-0000-0600-0000FEE12300}"/>
              </a:ext>
            </a:extLst>
          </xdr:cNvPr>
          <xdr:cNvSpPr>
            <a:spLocks noChangeShapeType="1"/>
          </xdr:cNvSpPr>
        </xdr:nvSpPr>
        <xdr:spPr bwMode="auto">
          <a:xfrm>
            <a:off x="5218" y="2023"/>
            <a:ext cx="1" cy="1"/>
          </a:xfrm>
          <a:prstGeom prst="line">
            <a:avLst/>
          </a:prstGeom>
          <a:noFill/>
          <a:ln w="0">
            <a:solidFill>
              <a:srgbClr val="D0D7E5"/>
            </a:solidFill>
            <a:round/>
            <a:headEnd/>
            <a:tailEnd/>
          </a:ln>
        </xdr:spPr>
      </xdr:sp>
      <xdr:sp macro="" textlink="">
        <xdr:nvSpPr>
          <xdr:cNvPr id="2351615" name="Rectangle 315">
            <a:extLst>
              <a:ext uri="{FF2B5EF4-FFF2-40B4-BE49-F238E27FC236}">
                <a16:creationId xmlns:a16="http://schemas.microsoft.com/office/drawing/2014/main" id="{00000000-0008-0000-0600-0000FFE12300}"/>
              </a:ext>
            </a:extLst>
          </xdr:cNvPr>
          <xdr:cNvSpPr>
            <a:spLocks noChangeArrowheads="1"/>
          </xdr:cNvSpPr>
        </xdr:nvSpPr>
        <xdr:spPr bwMode="auto">
          <a:xfrm>
            <a:off x="5218" y="2023"/>
            <a:ext cx="6" cy="6"/>
          </a:xfrm>
          <a:prstGeom prst="rect">
            <a:avLst/>
          </a:prstGeom>
          <a:solidFill>
            <a:srgbClr val="D0D7E5"/>
          </a:solidFill>
          <a:ln w="9525">
            <a:noFill/>
            <a:miter lim="800000"/>
            <a:headEnd/>
            <a:tailEnd/>
          </a:ln>
        </xdr:spPr>
      </xdr:sp>
      <xdr:sp macro="" textlink="">
        <xdr:nvSpPr>
          <xdr:cNvPr id="2351616" name="Line 316">
            <a:extLst>
              <a:ext uri="{FF2B5EF4-FFF2-40B4-BE49-F238E27FC236}">
                <a16:creationId xmlns:a16="http://schemas.microsoft.com/office/drawing/2014/main" id="{00000000-0008-0000-0600-000000E22300}"/>
              </a:ext>
            </a:extLst>
          </xdr:cNvPr>
          <xdr:cNvSpPr>
            <a:spLocks noChangeShapeType="1"/>
          </xdr:cNvSpPr>
        </xdr:nvSpPr>
        <xdr:spPr bwMode="auto">
          <a:xfrm>
            <a:off x="5218" y="2149"/>
            <a:ext cx="1" cy="1"/>
          </a:xfrm>
          <a:prstGeom prst="line">
            <a:avLst/>
          </a:prstGeom>
          <a:noFill/>
          <a:ln w="0">
            <a:solidFill>
              <a:srgbClr val="D0D7E5"/>
            </a:solidFill>
            <a:round/>
            <a:headEnd/>
            <a:tailEnd/>
          </a:ln>
        </xdr:spPr>
      </xdr:sp>
      <xdr:sp macro="" textlink="">
        <xdr:nvSpPr>
          <xdr:cNvPr id="2351617" name="Rectangle 317">
            <a:extLst>
              <a:ext uri="{FF2B5EF4-FFF2-40B4-BE49-F238E27FC236}">
                <a16:creationId xmlns:a16="http://schemas.microsoft.com/office/drawing/2014/main" id="{00000000-0008-0000-0600-000001E22300}"/>
              </a:ext>
            </a:extLst>
          </xdr:cNvPr>
          <xdr:cNvSpPr>
            <a:spLocks noChangeArrowheads="1"/>
          </xdr:cNvSpPr>
        </xdr:nvSpPr>
        <xdr:spPr bwMode="auto">
          <a:xfrm>
            <a:off x="5218" y="2149"/>
            <a:ext cx="6" cy="6"/>
          </a:xfrm>
          <a:prstGeom prst="rect">
            <a:avLst/>
          </a:prstGeom>
          <a:solidFill>
            <a:srgbClr val="D0D7E5"/>
          </a:solidFill>
          <a:ln w="9525">
            <a:noFill/>
            <a:miter lim="800000"/>
            <a:headEnd/>
            <a:tailEnd/>
          </a:ln>
        </xdr:spPr>
      </xdr:sp>
      <xdr:sp macro="" textlink="">
        <xdr:nvSpPr>
          <xdr:cNvPr id="2351618" name="Line 318">
            <a:extLst>
              <a:ext uri="{FF2B5EF4-FFF2-40B4-BE49-F238E27FC236}">
                <a16:creationId xmlns:a16="http://schemas.microsoft.com/office/drawing/2014/main" id="{00000000-0008-0000-0600-000002E22300}"/>
              </a:ext>
            </a:extLst>
          </xdr:cNvPr>
          <xdr:cNvSpPr>
            <a:spLocks noChangeShapeType="1"/>
          </xdr:cNvSpPr>
        </xdr:nvSpPr>
        <xdr:spPr bwMode="auto">
          <a:xfrm>
            <a:off x="2098" y="2269"/>
            <a:ext cx="3120" cy="1"/>
          </a:xfrm>
          <a:prstGeom prst="line">
            <a:avLst/>
          </a:prstGeom>
          <a:noFill/>
          <a:ln w="0">
            <a:solidFill>
              <a:srgbClr val="D0D7E5"/>
            </a:solidFill>
            <a:round/>
            <a:headEnd/>
            <a:tailEnd/>
          </a:ln>
        </xdr:spPr>
      </xdr:sp>
      <xdr:sp macro="" textlink="">
        <xdr:nvSpPr>
          <xdr:cNvPr id="2351619" name="Rectangle 319">
            <a:extLst>
              <a:ext uri="{FF2B5EF4-FFF2-40B4-BE49-F238E27FC236}">
                <a16:creationId xmlns:a16="http://schemas.microsoft.com/office/drawing/2014/main" id="{00000000-0008-0000-0600-000003E22300}"/>
              </a:ext>
            </a:extLst>
          </xdr:cNvPr>
          <xdr:cNvSpPr>
            <a:spLocks noChangeArrowheads="1"/>
          </xdr:cNvSpPr>
        </xdr:nvSpPr>
        <xdr:spPr bwMode="auto">
          <a:xfrm>
            <a:off x="2098" y="2269"/>
            <a:ext cx="3126" cy="6"/>
          </a:xfrm>
          <a:prstGeom prst="rect">
            <a:avLst/>
          </a:prstGeom>
          <a:solidFill>
            <a:srgbClr val="D0D7E5"/>
          </a:solidFill>
          <a:ln w="9525">
            <a:noFill/>
            <a:miter lim="800000"/>
            <a:headEnd/>
            <a:tailEnd/>
          </a:ln>
        </xdr:spPr>
      </xdr:sp>
      <xdr:sp macro="" textlink="">
        <xdr:nvSpPr>
          <xdr:cNvPr id="2351620" name="Line 320">
            <a:extLst>
              <a:ext uri="{FF2B5EF4-FFF2-40B4-BE49-F238E27FC236}">
                <a16:creationId xmlns:a16="http://schemas.microsoft.com/office/drawing/2014/main" id="{00000000-0008-0000-0600-000004E22300}"/>
              </a:ext>
            </a:extLst>
          </xdr:cNvPr>
          <xdr:cNvSpPr>
            <a:spLocks noChangeShapeType="1"/>
          </xdr:cNvSpPr>
        </xdr:nvSpPr>
        <xdr:spPr bwMode="auto">
          <a:xfrm>
            <a:off x="5218" y="2395"/>
            <a:ext cx="1" cy="1"/>
          </a:xfrm>
          <a:prstGeom prst="line">
            <a:avLst/>
          </a:prstGeom>
          <a:noFill/>
          <a:ln w="0">
            <a:solidFill>
              <a:srgbClr val="D0D7E5"/>
            </a:solidFill>
            <a:round/>
            <a:headEnd/>
            <a:tailEnd/>
          </a:ln>
        </xdr:spPr>
      </xdr:sp>
      <xdr:sp macro="" textlink="">
        <xdr:nvSpPr>
          <xdr:cNvPr id="2351621" name="Rectangle 321">
            <a:extLst>
              <a:ext uri="{FF2B5EF4-FFF2-40B4-BE49-F238E27FC236}">
                <a16:creationId xmlns:a16="http://schemas.microsoft.com/office/drawing/2014/main" id="{00000000-0008-0000-0600-000005E22300}"/>
              </a:ext>
            </a:extLst>
          </xdr:cNvPr>
          <xdr:cNvSpPr>
            <a:spLocks noChangeArrowheads="1"/>
          </xdr:cNvSpPr>
        </xdr:nvSpPr>
        <xdr:spPr bwMode="auto">
          <a:xfrm>
            <a:off x="5218" y="2395"/>
            <a:ext cx="6" cy="6"/>
          </a:xfrm>
          <a:prstGeom prst="rect">
            <a:avLst/>
          </a:prstGeom>
          <a:solidFill>
            <a:srgbClr val="D0D7E5"/>
          </a:solidFill>
          <a:ln w="9525">
            <a:noFill/>
            <a:miter lim="800000"/>
            <a:headEnd/>
            <a:tailEnd/>
          </a:ln>
        </xdr:spPr>
      </xdr:sp>
      <xdr:sp macro="" textlink="">
        <xdr:nvSpPr>
          <xdr:cNvPr id="2351622" name="Line 322">
            <a:extLst>
              <a:ext uri="{FF2B5EF4-FFF2-40B4-BE49-F238E27FC236}">
                <a16:creationId xmlns:a16="http://schemas.microsoft.com/office/drawing/2014/main" id="{00000000-0008-0000-0600-000006E22300}"/>
              </a:ext>
            </a:extLst>
          </xdr:cNvPr>
          <xdr:cNvSpPr>
            <a:spLocks noChangeShapeType="1"/>
          </xdr:cNvSpPr>
        </xdr:nvSpPr>
        <xdr:spPr bwMode="auto">
          <a:xfrm>
            <a:off x="5218" y="2515"/>
            <a:ext cx="1" cy="1"/>
          </a:xfrm>
          <a:prstGeom prst="line">
            <a:avLst/>
          </a:prstGeom>
          <a:noFill/>
          <a:ln w="0">
            <a:solidFill>
              <a:srgbClr val="D0D7E5"/>
            </a:solidFill>
            <a:round/>
            <a:headEnd/>
            <a:tailEnd/>
          </a:ln>
        </xdr:spPr>
      </xdr:sp>
      <xdr:sp macro="" textlink="">
        <xdr:nvSpPr>
          <xdr:cNvPr id="2351623" name="Rectangle 323">
            <a:extLst>
              <a:ext uri="{FF2B5EF4-FFF2-40B4-BE49-F238E27FC236}">
                <a16:creationId xmlns:a16="http://schemas.microsoft.com/office/drawing/2014/main" id="{00000000-0008-0000-0600-000007E22300}"/>
              </a:ext>
            </a:extLst>
          </xdr:cNvPr>
          <xdr:cNvSpPr>
            <a:spLocks noChangeArrowheads="1"/>
          </xdr:cNvSpPr>
        </xdr:nvSpPr>
        <xdr:spPr bwMode="auto">
          <a:xfrm>
            <a:off x="5218" y="2515"/>
            <a:ext cx="6" cy="6"/>
          </a:xfrm>
          <a:prstGeom prst="rect">
            <a:avLst/>
          </a:prstGeom>
          <a:solidFill>
            <a:srgbClr val="D0D7E5"/>
          </a:solidFill>
          <a:ln w="9525">
            <a:noFill/>
            <a:miter lim="800000"/>
            <a:headEnd/>
            <a:tailEnd/>
          </a:ln>
        </xdr:spPr>
      </xdr:sp>
      <xdr:sp macro="" textlink="">
        <xdr:nvSpPr>
          <xdr:cNvPr id="2351624" name="Line 324">
            <a:extLst>
              <a:ext uri="{FF2B5EF4-FFF2-40B4-BE49-F238E27FC236}">
                <a16:creationId xmlns:a16="http://schemas.microsoft.com/office/drawing/2014/main" id="{00000000-0008-0000-0600-000008E22300}"/>
              </a:ext>
            </a:extLst>
          </xdr:cNvPr>
          <xdr:cNvSpPr>
            <a:spLocks noChangeShapeType="1"/>
          </xdr:cNvSpPr>
        </xdr:nvSpPr>
        <xdr:spPr bwMode="auto">
          <a:xfrm>
            <a:off x="5218" y="2635"/>
            <a:ext cx="1" cy="1"/>
          </a:xfrm>
          <a:prstGeom prst="line">
            <a:avLst/>
          </a:prstGeom>
          <a:noFill/>
          <a:ln w="0">
            <a:solidFill>
              <a:srgbClr val="D0D7E5"/>
            </a:solidFill>
            <a:round/>
            <a:headEnd/>
            <a:tailEnd/>
          </a:ln>
        </xdr:spPr>
      </xdr:sp>
      <xdr:sp macro="" textlink="">
        <xdr:nvSpPr>
          <xdr:cNvPr id="2351625" name="Rectangle 325">
            <a:extLst>
              <a:ext uri="{FF2B5EF4-FFF2-40B4-BE49-F238E27FC236}">
                <a16:creationId xmlns:a16="http://schemas.microsoft.com/office/drawing/2014/main" id="{00000000-0008-0000-0600-000009E22300}"/>
              </a:ext>
            </a:extLst>
          </xdr:cNvPr>
          <xdr:cNvSpPr>
            <a:spLocks noChangeArrowheads="1"/>
          </xdr:cNvSpPr>
        </xdr:nvSpPr>
        <xdr:spPr bwMode="auto">
          <a:xfrm>
            <a:off x="5218" y="2635"/>
            <a:ext cx="6" cy="6"/>
          </a:xfrm>
          <a:prstGeom prst="rect">
            <a:avLst/>
          </a:prstGeom>
          <a:solidFill>
            <a:srgbClr val="D0D7E5"/>
          </a:solidFill>
          <a:ln w="9525">
            <a:noFill/>
            <a:miter lim="800000"/>
            <a:headEnd/>
            <a:tailEnd/>
          </a:ln>
        </xdr:spPr>
      </xdr:sp>
      <xdr:sp macro="" textlink="">
        <xdr:nvSpPr>
          <xdr:cNvPr id="2351626" name="Line 326">
            <a:extLst>
              <a:ext uri="{FF2B5EF4-FFF2-40B4-BE49-F238E27FC236}">
                <a16:creationId xmlns:a16="http://schemas.microsoft.com/office/drawing/2014/main" id="{00000000-0008-0000-0600-00000AE22300}"/>
              </a:ext>
            </a:extLst>
          </xdr:cNvPr>
          <xdr:cNvSpPr>
            <a:spLocks noChangeShapeType="1"/>
          </xdr:cNvSpPr>
        </xdr:nvSpPr>
        <xdr:spPr bwMode="auto">
          <a:xfrm>
            <a:off x="5218" y="2755"/>
            <a:ext cx="1" cy="1"/>
          </a:xfrm>
          <a:prstGeom prst="line">
            <a:avLst/>
          </a:prstGeom>
          <a:noFill/>
          <a:ln w="0">
            <a:solidFill>
              <a:srgbClr val="D0D7E5"/>
            </a:solidFill>
            <a:round/>
            <a:headEnd/>
            <a:tailEnd/>
          </a:ln>
        </xdr:spPr>
      </xdr:sp>
      <xdr:sp macro="" textlink="">
        <xdr:nvSpPr>
          <xdr:cNvPr id="2351627" name="Rectangle 327">
            <a:extLst>
              <a:ext uri="{FF2B5EF4-FFF2-40B4-BE49-F238E27FC236}">
                <a16:creationId xmlns:a16="http://schemas.microsoft.com/office/drawing/2014/main" id="{00000000-0008-0000-0600-00000BE22300}"/>
              </a:ext>
            </a:extLst>
          </xdr:cNvPr>
          <xdr:cNvSpPr>
            <a:spLocks noChangeArrowheads="1"/>
          </xdr:cNvSpPr>
        </xdr:nvSpPr>
        <xdr:spPr bwMode="auto">
          <a:xfrm>
            <a:off x="5218" y="2755"/>
            <a:ext cx="6" cy="6"/>
          </a:xfrm>
          <a:prstGeom prst="rect">
            <a:avLst/>
          </a:prstGeom>
          <a:solidFill>
            <a:srgbClr val="D0D7E5"/>
          </a:solidFill>
          <a:ln w="9525">
            <a:noFill/>
            <a:miter lim="800000"/>
            <a:headEnd/>
            <a:tailEnd/>
          </a:ln>
        </xdr:spPr>
      </xdr:sp>
      <xdr:sp macro="" textlink="">
        <xdr:nvSpPr>
          <xdr:cNvPr id="2351628" name="Line 328">
            <a:extLst>
              <a:ext uri="{FF2B5EF4-FFF2-40B4-BE49-F238E27FC236}">
                <a16:creationId xmlns:a16="http://schemas.microsoft.com/office/drawing/2014/main" id="{00000000-0008-0000-0600-00000CE22300}"/>
              </a:ext>
            </a:extLst>
          </xdr:cNvPr>
          <xdr:cNvSpPr>
            <a:spLocks noChangeShapeType="1"/>
          </xdr:cNvSpPr>
        </xdr:nvSpPr>
        <xdr:spPr bwMode="auto">
          <a:xfrm>
            <a:off x="5218" y="2875"/>
            <a:ext cx="1" cy="1"/>
          </a:xfrm>
          <a:prstGeom prst="line">
            <a:avLst/>
          </a:prstGeom>
          <a:noFill/>
          <a:ln w="0">
            <a:solidFill>
              <a:srgbClr val="D0D7E5"/>
            </a:solidFill>
            <a:round/>
            <a:headEnd/>
            <a:tailEnd/>
          </a:ln>
        </xdr:spPr>
      </xdr:sp>
      <xdr:sp macro="" textlink="">
        <xdr:nvSpPr>
          <xdr:cNvPr id="2351629" name="Rectangle 329">
            <a:extLst>
              <a:ext uri="{FF2B5EF4-FFF2-40B4-BE49-F238E27FC236}">
                <a16:creationId xmlns:a16="http://schemas.microsoft.com/office/drawing/2014/main" id="{00000000-0008-0000-0600-00000DE22300}"/>
              </a:ext>
            </a:extLst>
          </xdr:cNvPr>
          <xdr:cNvSpPr>
            <a:spLocks noChangeArrowheads="1"/>
          </xdr:cNvSpPr>
        </xdr:nvSpPr>
        <xdr:spPr bwMode="auto">
          <a:xfrm>
            <a:off x="5218" y="2875"/>
            <a:ext cx="6" cy="6"/>
          </a:xfrm>
          <a:prstGeom prst="rect">
            <a:avLst/>
          </a:prstGeom>
          <a:solidFill>
            <a:srgbClr val="D0D7E5"/>
          </a:solidFill>
          <a:ln w="9525">
            <a:noFill/>
            <a:miter lim="800000"/>
            <a:headEnd/>
            <a:tailEnd/>
          </a:ln>
        </xdr:spPr>
      </xdr:sp>
      <xdr:sp macro="" textlink="">
        <xdr:nvSpPr>
          <xdr:cNvPr id="2351630" name="Line 330">
            <a:extLst>
              <a:ext uri="{FF2B5EF4-FFF2-40B4-BE49-F238E27FC236}">
                <a16:creationId xmlns:a16="http://schemas.microsoft.com/office/drawing/2014/main" id="{00000000-0008-0000-0600-00000EE22300}"/>
              </a:ext>
            </a:extLst>
          </xdr:cNvPr>
          <xdr:cNvSpPr>
            <a:spLocks noChangeShapeType="1"/>
          </xdr:cNvSpPr>
        </xdr:nvSpPr>
        <xdr:spPr bwMode="auto">
          <a:xfrm>
            <a:off x="5218" y="2995"/>
            <a:ext cx="1" cy="1"/>
          </a:xfrm>
          <a:prstGeom prst="line">
            <a:avLst/>
          </a:prstGeom>
          <a:noFill/>
          <a:ln w="0">
            <a:solidFill>
              <a:srgbClr val="D0D7E5"/>
            </a:solidFill>
            <a:round/>
            <a:headEnd/>
            <a:tailEnd/>
          </a:ln>
        </xdr:spPr>
      </xdr:sp>
      <xdr:sp macro="" textlink="">
        <xdr:nvSpPr>
          <xdr:cNvPr id="2351631" name="Rectangle 331">
            <a:extLst>
              <a:ext uri="{FF2B5EF4-FFF2-40B4-BE49-F238E27FC236}">
                <a16:creationId xmlns:a16="http://schemas.microsoft.com/office/drawing/2014/main" id="{00000000-0008-0000-0600-00000FE22300}"/>
              </a:ext>
            </a:extLst>
          </xdr:cNvPr>
          <xdr:cNvSpPr>
            <a:spLocks noChangeArrowheads="1"/>
          </xdr:cNvSpPr>
        </xdr:nvSpPr>
        <xdr:spPr bwMode="auto">
          <a:xfrm>
            <a:off x="5218" y="2995"/>
            <a:ext cx="6" cy="6"/>
          </a:xfrm>
          <a:prstGeom prst="rect">
            <a:avLst/>
          </a:prstGeom>
          <a:solidFill>
            <a:srgbClr val="D0D7E5"/>
          </a:solidFill>
          <a:ln w="9525">
            <a:noFill/>
            <a:miter lim="800000"/>
            <a:headEnd/>
            <a:tailEnd/>
          </a:ln>
        </xdr:spPr>
      </xdr:sp>
      <xdr:sp macro="" textlink="">
        <xdr:nvSpPr>
          <xdr:cNvPr id="2351632" name="Line 332">
            <a:extLst>
              <a:ext uri="{FF2B5EF4-FFF2-40B4-BE49-F238E27FC236}">
                <a16:creationId xmlns:a16="http://schemas.microsoft.com/office/drawing/2014/main" id="{00000000-0008-0000-0600-000010E22300}"/>
              </a:ext>
            </a:extLst>
          </xdr:cNvPr>
          <xdr:cNvSpPr>
            <a:spLocks noChangeShapeType="1"/>
          </xdr:cNvSpPr>
        </xdr:nvSpPr>
        <xdr:spPr bwMode="auto">
          <a:xfrm>
            <a:off x="5218" y="3115"/>
            <a:ext cx="1" cy="1"/>
          </a:xfrm>
          <a:prstGeom prst="line">
            <a:avLst/>
          </a:prstGeom>
          <a:noFill/>
          <a:ln w="0">
            <a:solidFill>
              <a:srgbClr val="D0D7E5"/>
            </a:solidFill>
            <a:round/>
            <a:headEnd/>
            <a:tailEnd/>
          </a:ln>
        </xdr:spPr>
      </xdr:sp>
      <xdr:sp macro="" textlink="">
        <xdr:nvSpPr>
          <xdr:cNvPr id="2351633" name="Rectangle 333">
            <a:extLst>
              <a:ext uri="{FF2B5EF4-FFF2-40B4-BE49-F238E27FC236}">
                <a16:creationId xmlns:a16="http://schemas.microsoft.com/office/drawing/2014/main" id="{00000000-0008-0000-0600-000011E22300}"/>
              </a:ext>
            </a:extLst>
          </xdr:cNvPr>
          <xdr:cNvSpPr>
            <a:spLocks noChangeArrowheads="1"/>
          </xdr:cNvSpPr>
        </xdr:nvSpPr>
        <xdr:spPr bwMode="auto">
          <a:xfrm>
            <a:off x="5218" y="3115"/>
            <a:ext cx="6" cy="6"/>
          </a:xfrm>
          <a:prstGeom prst="rect">
            <a:avLst/>
          </a:prstGeom>
          <a:solidFill>
            <a:srgbClr val="D0D7E5"/>
          </a:solidFill>
          <a:ln w="9525">
            <a:noFill/>
            <a:miter lim="800000"/>
            <a:headEnd/>
            <a:tailEnd/>
          </a:ln>
        </xdr:spPr>
      </xdr:sp>
      <xdr:sp macro="" textlink="">
        <xdr:nvSpPr>
          <xdr:cNvPr id="2351634" name="Line 334">
            <a:extLst>
              <a:ext uri="{FF2B5EF4-FFF2-40B4-BE49-F238E27FC236}">
                <a16:creationId xmlns:a16="http://schemas.microsoft.com/office/drawing/2014/main" id="{00000000-0008-0000-0600-000012E22300}"/>
              </a:ext>
            </a:extLst>
          </xdr:cNvPr>
          <xdr:cNvSpPr>
            <a:spLocks noChangeShapeType="1"/>
          </xdr:cNvSpPr>
        </xdr:nvSpPr>
        <xdr:spPr bwMode="auto">
          <a:xfrm>
            <a:off x="5218" y="3235"/>
            <a:ext cx="1" cy="1"/>
          </a:xfrm>
          <a:prstGeom prst="line">
            <a:avLst/>
          </a:prstGeom>
          <a:noFill/>
          <a:ln w="0">
            <a:solidFill>
              <a:srgbClr val="D0D7E5"/>
            </a:solidFill>
            <a:round/>
            <a:headEnd/>
            <a:tailEnd/>
          </a:ln>
        </xdr:spPr>
      </xdr:sp>
      <xdr:sp macro="" textlink="">
        <xdr:nvSpPr>
          <xdr:cNvPr id="2351635" name="Rectangle 335">
            <a:extLst>
              <a:ext uri="{FF2B5EF4-FFF2-40B4-BE49-F238E27FC236}">
                <a16:creationId xmlns:a16="http://schemas.microsoft.com/office/drawing/2014/main" id="{00000000-0008-0000-0600-000013E22300}"/>
              </a:ext>
            </a:extLst>
          </xdr:cNvPr>
          <xdr:cNvSpPr>
            <a:spLocks noChangeArrowheads="1"/>
          </xdr:cNvSpPr>
        </xdr:nvSpPr>
        <xdr:spPr bwMode="auto">
          <a:xfrm>
            <a:off x="5218" y="3235"/>
            <a:ext cx="6" cy="6"/>
          </a:xfrm>
          <a:prstGeom prst="rect">
            <a:avLst/>
          </a:prstGeom>
          <a:solidFill>
            <a:srgbClr val="D0D7E5"/>
          </a:solidFill>
          <a:ln w="9525">
            <a:noFill/>
            <a:miter lim="800000"/>
            <a:headEnd/>
            <a:tailEnd/>
          </a:ln>
        </xdr:spPr>
      </xdr:sp>
      <xdr:sp macro="" textlink="">
        <xdr:nvSpPr>
          <xdr:cNvPr id="2351636" name="Line 336">
            <a:extLst>
              <a:ext uri="{FF2B5EF4-FFF2-40B4-BE49-F238E27FC236}">
                <a16:creationId xmlns:a16="http://schemas.microsoft.com/office/drawing/2014/main" id="{00000000-0008-0000-0600-000014E22300}"/>
              </a:ext>
            </a:extLst>
          </xdr:cNvPr>
          <xdr:cNvSpPr>
            <a:spLocks noChangeShapeType="1"/>
          </xdr:cNvSpPr>
        </xdr:nvSpPr>
        <xdr:spPr bwMode="auto">
          <a:xfrm>
            <a:off x="3436" y="3361"/>
            <a:ext cx="1782" cy="1"/>
          </a:xfrm>
          <a:prstGeom prst="line">
            <a:avLst/>
          </a:prstGeom>
          <a:noFill/>
          <a:ln w="0">
            <a:solidFill>
              <a:srgbClr val="D0D7E5"/>
            </a:solidFill>
            <a:round/>
            <a:headEnd/>
            <a:tailEnd/>
          </a:ln>
        </xdr:spPr>
      </xdr:sp>
      <xdr:sp macro="" textlink="">
        <xdr:nvSpPr>
          <xdr:cNvPr id="2351637" name="Rectangle 337">
            <a:extLst>
              <a:ext uri="{FF2B5EF4-FFF2-40B4-BE49-F238E27FC236}">
                <a16:creationId xmlns:a16="http://schemas.microsoft.com/office/drawing/2014/main" id="{00000000-0008-0000-0600-000015E22300}"/>
              </a:ext>
            </a:extLst>
          </xdr:cNvPr>
          <xdr:cNvSpPr>
            <a:spLocks noChangeArrowheads="1"/>
          </xdr:cNvSpPr>
        </xdr:nvSpPr>
        <xdr:spPr bwMode="auto">
          <a:xfrm>
            <a:off x="3436" y="3361"/>
            <a:ext cx="1788" cy="6"/>
          </a:xfrm>
          <a:prstGeom prst="rect">
            <a:avLst/>
          </a:prstGeom>
          <a:solidFill>
            <a:srgbClr val="D0D7E5"/>
          </a:solidFill>
          <a:ln w="9525">
            <a:noFill/>
            <a:miter lim="800000"/>
            <a:headEnd/>
            <a:tailEnd/>
          </a:ln>
        </xdr:spPr>
      </xdr:sp>
      <xdr:sp macro="" textlink="">
        <xdr:nvSpPr>
          <xdr:cNvPr id="2351638" name="Line 338">
            <a:extLst>
              <a:ext uri="{FF2B5EF4-FFF2-40B4-BE49-F238E27FC236}">
                <a16:creationId xmlns:a16="http://schemas.microsoft.com/office/drawing/2014/main" id="{00000000-0008-0000-0600-000016E22300}"/>
              </a:ext>
            </a:extLst>
          </xdr:cNvPr>
          <xdr:cNvSpPr>
            <a:spLocks noChangeShapeType="1"/>
          </xdr:cNvSpPr>
        </xdr:nvSpPr>
        <xdr:spPr bwMode="auto">
          <a:xfrm>
            <a:off x="748" y="3481"/>
            <a:ext cx="4470" cy="1"/>
          </a:xfrm>
          <a:prstGeom prst="line">
            <a:avLst/>
          </a:prstGeom>
          <a:noFill/>
          <a:ln w="0">
            <a:solidFill>
              <a:srgbClr val="D0D7E5"/>
            </a:solidFill>
            <a:round/>
            <a:headEnd/>
            <a:tailEnd/>
          </a:ln>
        </xdr:spPr>
      </xdr:sp>
      <xdr:sp macro="" textlink="">
        <xdr:nvSpPr>
          <xdr:cNvPr id="2351639" name="Rectangle 339">
            <a:extLst>
              <a:ext uri="{FF2B5EF4-FFF2-40B4-BE49-F238E27FC236}">
                <a16:creationId xmlns:a16="http://schemas.microsoft.com/office/drawing/2014/main" id="{00000000-0008-0000-0600-000017E22300}"/>
              </a:ext>
            </a:extLst>
          </xdr:cNvPr>
          <xdr:cNvSpPr>
            <a:spLocks noChangeArrowheads="1"/>
          </xdr:cNvSpPr>
        </xdr:nvSpPr>
        <xdr:spPr bwMode="auto">
          <a:xfrm>
            <a:off x="748" y="3481"/>
            <a:ext cx="4476" cy="6"/>
          </a:xfrm>
          <a:prstGeom prst="rect">
            <a:avLst/>
          </a:prstGeom>
          <a:solidFill>
            <a:srgbClr val="D0D7E5"/>
          </a:solidFill>
          <a:ln w="9525">
            <a:noFill/>
            <a:miter lim="800000"/>
            <a:headEnd/>
            <a:tailEnd/>
          </a:ln>
        </xdr:spPr>
      </xdr:sp>
      <xdr:sp macro="" textlink="">
        <xdr:nvSpPr>
          <xdr:cNvPr id="2351640" name="Line 340">
            <a:extLst>
              <a:ext uri="{FF2B5EF4-FFF2-40B4-BE49-F238E27FC236}">
                <a16:creationId xmlns:a16="http://schemas.microsoft.com/office/drawing/2014/main" id="{00000000-0008-0000-0600-000018E22300}"/>
              </a:ext>
            </a:extLst>
          </xdr:cNvPr>
          <xdr:cNvSpPr>
            <a:spLocks noChangeShapeType="1"/>
          </xdr:cNvSpPr>
        </xdr:nvSpPr>
        <xdr:spPr bwMode="auto">
          <a:xfrm>
            <a:off x="2776" y="3601"/>
            <a:ext cx="2442" cy="1"/>
          </a:xfrm>
          <a:prstGeom prst="line">
            <a:avLst/>
          </a:prstGeom>
          <a:noFill/>
          <a:ln w="0">
            <a:solidFill>
              <a:srgbClr val="D0D7E5"/>
            </a:solidFill>
            <a:round/>
            <a:headEnd/>
            <a:tailEnd/>
          </a:ln>
        </xdr:spPr>
      </xdr:sp>
      <xdr:sp macro="" textlink="">
        <xdr:nvSpPr>
          <xdr:cNvPr id="2351641" name="Rectangle 341">
            <a:extLst>
              <a:ext uri="{FF2B5EF4-FFF2-40B4-BE49-F238E27FC236}">
                <a16:creationId xmlns:a16="http://schemas.microsoft.com/office/drawing/2014/main" id="{00000000-0008-0000-0600-000019E22300}"/>
              </a:ext>
            </a:extLst>
          </xdr:cNvPr>
          <xdr:cNvSpPr>
            <a:spLocks noChangeArrowheads="1"/>
          </xdr:cNvSpPr>
        </xdr:nvSpPr>
        <xdr:spPr bwMode="auto">
          <a:xfrm>
            <a:off x="2776" y="3601"/>
            <a:ext cx="2448" cy="6"/>
          </a:xfrm>
          <a:prstGeom prst="rect">
            <a:avLst/>
          </a:prstGeom>
          <a:solidFill>
            <a:srgbClr val="D0D7E5"/>
          </a:solidFill>
          <a:ln w="9525">
            <a:noFill/>
            <a:miter lim="800000"/>
            <a:headEnd/>
            <a:tailEnd/>
          </a:ln>
        </xdr:spPr>
      </xdr:sp>
      <xdr:sp macro="" textlink="">
        <xdr:nvSpPr>
          <xdr:cNvPr id="2351642" name="Line 342">
            <a:extLst>
              <a:ext uri="{FF2B5EF4-FFF2-40B4-BE49-F238E27FC236}">
                <a16:creationId xmlns:a16="http://schemas.microsoft.com/office/drawing/2014/main" id="{00000000-0008-0000-0600-00001AE22300}"/>
              </a:ext>
            </a:extLst>
          </xdr:cNvPr>
          <xdr:cNvSpPr>
            <a:spLocks noChangeShapeType="1"/>
          </xdr:cNvSpPr>
        </xdr:nvSpPr>
        <xdr:spPr bwMode="auto">
          <a:xfrm>
            <a:off x="2776" y="3727"/>
            <a:ext cx="2442" cy="1"/>
          </a:xfrm>
          <a:prstGeom prst="line">
            <a:avLst/>
          </a:prstGeom>
          <a:noFill/>
          <a:ln w="0">
            <a:solidFill>
              <a:srgbClr val="D0D7E5"/>
            </a:solidFill>
            <a:round/>
            <a:headEnd/>
            <a:tailEnd/>
          </a:ln>
        </xdr:spPr>
      </xdr:sp>
      <xdr:sp macro="" textlink="">
        <xdr:nvSpPr>
          <xdr:cNvPr id="2351643" name="Rectangle 343">
            <a:extLst>
              <a:ext uri="{FF2B5EF4-FFF2-40B4-BE49-F238E27FC236}">
                <a16:creationId xmlns:a16="http://schemas.microsoft.com/office/drawing/2014/main" id="{00000000-0008-0000-0600-00001BE22300}"/>
              </a:ext>
            </a:extLst>
          </xdr:cNvPr>
          <xdr:cNvSpPr>
            <a:spLocks noChangeArrowheads="1"/>
          </xdr:cNvSpPr>
        </xdr:nvSpPr>
        <xdr:spPr bwMode="auto">
          <a:xfrm>
            <a:off x="2776" y="3727"/>
            <a:ext cx="2448" cy="6"/>
          </a:xfrm>
          <a:prstGeom prst="rect">
            <a:avLst/>
          </a:prstGeom>
          <a:solidFill>
            <a:srgbClr val="D0D7E5"/>
          </a:solidFill>
          <a:ln w="9525">
            <a:noFill/>
            <a:miter lim="800000"/>
            <a:headEnd/>
            <a:tailEnd/>
          </a:ln>
        </xdr:spPr>
      </xdr:sp>
      <xdr:sp macro="" textlink="">
        <xdr:nvSpPr>
          <xdr:cNvPr id="2351644" name="Line 344">
            <a:extLst>
              <a:ext uri="{FF2B5EF4-FFF2-40B4-BE49-F238E27FC236}">
                <a16:creationId xmlns:a16="http://schemas.microsoft.com/office/drawing/2014/main" id="{00000000-0008-0000-0600-00001CE22300}"/>
              </a:ext>
            </a:extLst>
          </xdr:cNvPr>
          <xdr:cNvSpPr>
            <a:spLocks noChangeShapeType="1"/>
          </xdr:cNvSpPr>
        </xdr:nvSpPr>
        <xdr:spPr bwMode="auto">
          <a:xfrm>
            <a:off x="2776" y="3853"/>
            <a:ext cx="2442" cy="1"/>
          </a:xfrm>
          <a:prstGeom prst="line">
            <a:avLst/>
          </a:prstGeom>
          <a:noFill/>
          <a:ln w="0">
            <a:solidFill>
              <a:srgbClr val="D0D7E5"/>
            </a:solidFill>
            <a:round/>
            <a:headEnd/>
            <a:tailEnd/>
          </a:ln>
        </xdr:spPr>
      </xdr:sp>
      <xdr:sp macro="" textlink="">
        <xdr:nvSpPr>
          <xdr:cNvPr id="2351645" name="Rectangle 345">
            <a:extLst>
              <a:ext uri="{FF2B5EF4-FFF2-40B4-BE49-F238E27FC236}">
                <a16:creationId xmlns:a16="http://schemas.microsoft.com/office/drawing/2014/main" id="{00000000-0008-0000-0600-00001DE22300}"/>
              </a:ext>
            </a:extLst>
          </xdr:cNvPr>
          <xdr:cNvSpPr>
            <a:spLocks noChangeArrowheads="1"/>
          </xdr:cNvSpPr>
        </xdr:nvSpPr>
        <xdr:spPr bwMode="auto">
          <a:xfrm>
            <a:off x="2776" y="3853"/>
            <a:ext cx="2448" cy="6"/>
          </a:xfrm>
          <a:prstGeom prst="rect">
            <a:avLst/>
          </a:prstGeom>
          <a:solidFill>
            <a:srgbClr val="D0D7E5"/>
          </a:solidFill>
          <a:ln w="9525">
            <a:noFill/>
            <a:miter lim="800000"/>
            <a:headEnd/>
            <a:tailEnd/>
          </a:ln>
        </xdr:spPr>
      </xdr:sp>
      <xdr:sp macro="" textlink="">
        <xdr:nvSpPr>
          <xdr:cNvPr id="2351646" name="Line 346">
            <a:extLst>
              <a:ext uri="{FF2B5EF4-FFF2-40B4-BE49-F238E27FC236}">
                <a16:creationId xmlns:a16="http://schemas.microsoft.com/office/drawing/2014/main" id="{00000000-0008-0000-0600-00001EE22300}"/>
              </a:ext>
            </a:extLst>
          </xdr:cNvPr>
          <xdr:cNvSpPr>
            <a:spLocks noChangeShapeType="1"/>
          </xdr:cNvSpPr>
        </xdr:nvSpPr>
        <xdr:spPr bwMode="auto">
          <a:xfrm>
            <a:off x="3436" y="3979"/>
            <a:ext cx="1782" cy="1"/>
          </a:xfrm>
          <a:prstGeom prst="line">
            <a:avLst/>
          </a:prstGeom>
          <a:noFill/>
          <a:ln w="0">
            <a:solidFill>
              <a:srgbClr val="D0D7E5"/>
            </a:solidFill>
            <a:round/>
            <a:headEnd/>
            <a:tailEnd/>
          </a:ln>
        </xdr:spPr>
      </xdr:sp>
      <xdr:sp macro="" textlink="">
        <xdr:nvSpPr>
          <xdr:cNvPr id="2351647" name="Rectangle 347">
            <a:extLst>
              <a:ext uri="{FF2B5EF4-FFF2-40B4-BE49-F238E27FC236}">
                <a16:creationId xmlns:a16="http://schemas.microsoft.com/office/drawing/2014/main" id="{00000000-0008-0000-0600-00001FE22300}"/>
              </a:ext>
            </a:extLst>
          </xdr:cNvPr>
          <xdr:cNvSpPr>
            <a:spLocks noChangeArrowheads="1"/>
          </xdr:cNvSpPr>
        </xdr:nvSpPr>
        <xdr:spPr bwMode="auto">
          <a:xfrm>
            <a:off x="3436" y="3979"/>
            <a:ext cx="1788" cy="6"/>
          </a:xfrm>
          <a:prstGeom prst="rect">
            <a:avLst/>
          </a:prstGeom>
          <a:solidFill>
            <a:srgbClr val="D0D7E5"/>
          </a:solidFill>
          <a:ln w="9525">
            <a:noFill/>
            <a:miter lim="800000"/>
            <a:headEnd/>
            <a:tailEnd/>
          </a:ln>
        </xdr:spPr>
      </xdr:sp>
      <xdr:sp macro="" textlink="">
        <xdr:nvSpPr>
          <xdr:cNvPr id="2351648" name="Line 348">
            <a:extLst>
              <a:ext uri="{FF2B5EF4-FFF2-40B4-BE49-F238E27FC236}">
                <a16:creationId xmlns:a16="http://schemas.microsoft.com/office/drawing/2014/main" id="{00000000-0008-0000-0600-000020E22300}"/>
              </a:ext>
            </a:extLst>
          </xdr:cNvPr>
          <xdr:cNvSpPr>
            <a:spLocks noChangeShapeType="1"/>
          </xdr:cNvSpPr>
        </xdr:nvSpPr>
        <xdr:spPr bwMode="auto">
          <a:xfrm>
            <a:off x="3436" y="4105"/>
            <a:ext cx="1782" cy="1"/>
          </a:xfrm>
          <a:prstGeom prst="line">
            <a:avLst/>
          </a:prstGeom>
          <a:noFill/>
          <a:ln w="0">
            <a:solidFill>
              <a:srgbClr val="D0D7E5"/>
            </a:solidFill>
            <a:round/>
            <a:headEnd/>
            <a:tailEnd/>
          </a:ln>
        </xdr:spPr>
      </xdr:sp>
      <xdr:sp macro="" textlink="">
        <xdr:nvSpPr>
          <xdr:cNvPr id="2351649" name="Rectangle 349">
            <a:extLst>
              <a:ext uri="{FF2B5EF4-FFF2-40B4-BE49-F238E27FC236}">
                <a16:creationId xmlns:a16="http://schemas.microsoft.com/office/drawing/2014/main" id="{00000000-0008-0000-0600-000021E22300}"/>
              </a:ext>
            </a:extLst>
          </xdr:cNvPr>
          <xdr:cNvSpPr>
            <a:spLocks noChangeArrowheads="1"/>
          </xdr:cNvSpPr>
        </xdr:nvSpPr>
        <xdr:spPr bwMode="auto">
          <a:xfrm>
            <a:off x="3436" y="4105"/>
            <a:ext cx="1788" cy="6"/>
          </a:xfrm>
          <a:prstGeom prst="rect">
            <a:avLst/>
          </a:prstGeom>
          <a:solidFill>
            <a:srgbClr val="D0D7E5"/>
          </a:solidFill>
          <a:ln w="9525">
            <a:noFill/>
            <a:miter lim="800000"/>
            <a:headEnd/>
            <a:tailEnd/>
          </a:ln>
        </xdr:spPr>
      </xdr:sp>
    </xdr:grpSp>
    <xdr:clientData/>
  </xdr:twoCellAnchor>
  <xdr:twoCellAnchor editAs="oneCell">
    <xdr:from>
      <xdr:col>4</xdr:col>
      <xdr:colOff>142875</xdr:colOff>
      <xdr:row>26</xdr:row>
      <xdr:rowOff>85725</xdr:rowOff>
    </xdr:from>
    <xdr:to>
      <xdr:col>5</xdr:col>
      <xdr:colOff>247650</xdr:colOff>
      <xdr:row>27</xdr:row>
      <xdr:rowOff>161925</xdr:rowOff>
    </xdr:to>
    <xdr:pic>
      <xdr:nvPicPr>
        <xdr:cNvPr id="2351506" name="Picture 37399">
          <a:extLst>
            <a:ext uri="{FF2B5EF4-FFF2-40B4-BE49-F238E27FC236}">
              <a16:creationId xmlns:a16="http://schemas.microsoft.com/office/drawing/2014/main" id="{00000000-0008-0000-0600-000092E123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05275" y="5038725"/>
          <a:ext cx="1095375" cy="2667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19050</xdr:colOff>
      <xdr:row>5</xdr:row>
      <xdr:rowOff>57150</xdr:rowOff>
    </xdr:to>
    <xdr:pic>
      <xdr:nvPicPr>
        <xdr:cNvPr id="4375" name="1 Imagen">
          <a:extLst>
            <a:ext uri="{FF2B5EF4-FFF2-40B4-BE49-F238E27FC236}">
              <a16:creationId xmlns:a16="http://schemas.microsoft.com/office/drawing/2014/main" id="{00000000-0008-0000-0800-0000171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2752725" cy="10191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110490</xdr:colOff>
      <xdr:row>3</xdr:row>
      <xdr:rowOff>106680</xdr:rowOff>
    </xdr:from>
    <xdr:to>
      <xdr:col>13</xdr:col>
      <xdr:colOff>394468</xdr:colOff>
      <xdr:row>9</xdr:row>
      <xdr:rowOff>152400</xdr:rowOff>
    </xdr:to>
    <xdr:sp macro="" textlink="">
      <xdr:nvSpPr>
        <xdr:cNvPr id="2" name="1 Cerrar llave">
          <a:extLst>
            <a:ext uri="{FF2B5EF4-FFF2-40B4-BE49-F238E27FC236}">
              <a16:creationId xmlns:a16="http://schemas.microsoft.com/office/drawing/2014/main" id="{00000000-0008-0000-0900-000002000000}"/>
            </a:ext>
          </a:extLst>
        </xdr:cNvPr>
        <xdr:cNvSpPr/>
      </xdr:nvSpPr>
      <xdr:spPr>
        <a:xfrm>
          <a:off x="11285220" y="777240"/>
          <a:ext cx="266700" cy="1379220"/>
        </a:xfrm>
        <a:prstGeom prst="rightBrace">
          <a:avLst/>
        </a:prstGeom>
        <a:ln w="19050">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s-CO"/>
        </a:p>
      </xdr:txBody>
    </xdr:sp>
    <xdr:clientData/>
  </xdr:twoCellAnchor>
  <xdr:twoCellAnchor>
    <xdr:from>
      <xdr:col>10</xdr:col>
      <xdr:colOff>899160</xdr:colOff>
      <xdr:row>3</xdr:row>
      <xdr:rowOff>7620</xdr:rowOff>
    </xdr:from>
    <xdr:to>
      <xdr:col>11</xdr:col>
      <xdr:colOff>429827</xdr:colOff>
      <xdr:row>7</xdr:row>
      <xdr:rowOff>87773</xdr:rowOff>
    </xdr:to>
    <xdr:cxnSp macro="">
      <xdr:nvCxnSpPr>
        <xdr:cNvPr id="3" name="2 Conector recto de flecha">
          <a:extLst>
            <a:ext uri="{FF2B5EF4-FFF2-40B4-BE49-F238E27FC236}">
              <a16:creationId xmlns:a16="http://schemas.microsoft.com/office/drawing/2014/main" id="{00000000-0008-0000-0900-000003000000}"/>
            </a:ext>
          </a:extLst>
        </xdr:cNvPr>
        <xdr:cNvCxnSpPr/>
      </xdr:nvCxnSpPr>
      <xdr:spPr>
        <a:xfrm flipH="1">
          <a:off x="9601200" y="685800"/>
          <a:ext cx="426720" cy="86868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76200</xdr:colOff>
      <xdr:row>10</xdr:row>
      <xdr:rowOff>0</xdr:rowOff>
    </xdr:from>
    <xdr:to>
      <xdr:col>11</xdr:col>
      <xdr:colOff>437834</xdr:colOff>
      <xdr:row>10</xdr:row>
      <xdr:rowOff>0</xdr:rowOff>
    </xdr:to>
    <xdr:cxnSp macro="">
      <xdr:nvCxnSpPr>
        <xdr:cNvPr id="4" name="3 Conector recto de flecha">
          <a:extLst>
            <a:ext uri="{FF2B5EF4-FFF2-40B4-BE49-F238E27FC236}">
              <a16:creationId xmlns:a16="http://schemas.microsoft.com/office/drawing/2014/main" id="{00000000-0008-0000-0900-000004000000}"/>
            </a:ext>
          </a:extLst>
        </xdr:cNvPr>
        <xdr:cNvCxnSpPr/>
      </xdr:nvCxnSpPr>
      <xdr:spPr>
        <a:xfrm flipH="1" flipV="1">
          <a:off x="9692640" y="2194560"/>
          <a:ext cx="350520" cy="762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76200</xdr:colOff>
      <xdr:row>11</xdr:row>
      <xdr:rowOff>45720</xdr:rowOff>
    </xdr:from>
    <xdr:to>
      <xdr:col>11</xdr:col>
      <xdr:colOff>437973</xdr:colOff>
      <xdr:row>13</xdr:row>
      <xdr:rowOff>30480</xdr:rowOff>
    </xdr:to>
    <xdr:cxnSp macro="">
      <xdr:nvCxnSpPr>
        <xdr:cNvPr id="5" name="4 Conector recto de flecha">
          <a:extLst>
            <a:ext uri="{FF2B5EF4-FFF2-40B4-BE49-F238E27FC236}">
              <a16:creationId xmlns:a16="http://schemas.microsoft.com/office/drawing/2014/main" id="{00000000-0008-0000-0900-000005000000}"/>
            </a:ext>
          </a:extLst>
        </xdr:cNvPr>
        <xdr:cNvCxnSpPr/>
      </xdr:nvCxnSpPr>
      <xdr:spPr>
        <a:xfrm flipH="1" flipV="1">
          <a:off x="9685020" y="2446020"/>
          <a:ext cx="358140" cy="40386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678180</xdr:colOff>
      <xdr:row>11</xdr:row>
      <xdr:rowOff>177165</xdr:rowOff>
    </xdr:from>
    <xdr:to>
      <xdr:col>11</xdr:col>
      <xdr:colOff>438343</xdr:colOff>
      <xdr:row>16</xdr:row>
      <xdr:rowOff>69</xdr:rowOff>
    </xdr:to>
    <xdr:cxnSp macro="">
      <xdr:nvCxnSpPr>
        <xdr:cNvPr id="6" name="5 Conector recto de flecha">
          <a:extLst>
            <a:ext uri="{FF2B5EF4-FFF2-40B4-BE49-F238E27FC236}">
              <a16:creationId xmlns:a16="http://schemas.microsoft.com/office/drawing/2014/main" id="{00000000-0008-0000-0900-000006000000}"/>
            </a:ext>
          </a:extLst>
        </xdr:cNvPr>
        <xdr:cNvCxnSpPr/>
      </xdr:nvCxnSpPr>
      <xdr:spPr>
        <a:xfrm flipH="1" flipV="1">
          <a:off x="9395460" y="2575560"/>
          <a:ext cx="640080" cy="83058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929640</xdr:colOff>
      <xdr:row>9</xdr:row>
      <xdr:rowOff>167640</xdr:rowOff>
    </xdr:from>
    <xdr:to>
      <xdr:col>9</xdr:col>
      <xdr:colOff>308477</xdr:colOff>
      <xdr:row>12</xdr:row>
      <xdr:rowOff>160020</xdr:rowOff>
    </xdr:to>
    <xdr:cxnSp macro="">
      <xdr:nvCxnSpPr>
        <xdr:cNvPr id="7" name="6 Conector recto de flecha">
          <a:extLst>
            <a:ext uri="{FF2B5EF4-FFF2-40B4-BE49-F238E27FC236}">
              <a16:creationId xmlns:a16="http://schemas.microsoft.com/office/drawing/2014/main" id="{00000000-0008-0000-0900-000007000000}"/>
            </a:ext>
          </a:extLst>
        </xdr:cNvPr>
        <xdr:cNvCxnSpPr/>
      </xdr:nvCxnSpPr>
      <xdr:spPr>
        <a:xfrm flipH="1">
          <a:off x="8153400" y="2171700"/>
          <a:ext cx="487680" cy="60960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739140</xdr:colOff>
      <xdr:row>16</xdr:row>
      <xdr:rowOff>51435</xdr:rowOff>
    </xdr:from>
    <xdr:to>
      <xdr:col>9</xdr:col>
      <xdr:colOff>271041</xdr:colOff>
      <xdr:row>20</xdr:row>
      <xdr:rowOff>87643</xdr:rowOff>
    </xdr:to>
    <xdr:cxnSp macro="">
      <xdr:nvCxnSpPr>
        <xdr:cNvPr id="8" name="7 Conector recto de flecha">
          <a:extLst>
            <a:ext uri="{FF2B5EF4-FFF2-40B4-BE49-F238E27FC236}">
              <a16:creationId xmlns:a16="http://schemas.microsoft.com/office/drawing/2014/main" id="{00000000-0008-0000-0900-000008000000}"/>
            </a:ext>
          </a:extLst>
        </xdr:cNvPr>
        <xdr:cNvCxnSpPr/>
      </xdr:nvCxnSpPr>
      <xdr:spPr>
        <a:xfrm flipH="1" flipV="1">
          <a:off x="7978140" y="3459480"/>
          <a:ext cx="594360" cy="83820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198120</xdr:colOff>
      <xdr:row>18</xdr:row>
      <xdr:rowOff>0</xdr:rowOff>
    </xdr:from>
    <xdr:to>
      <xdr:col>13</xdr:col>
      <xdr:colOff>438140</xdr:colOff>
      <xdr:row>19</xdr:row>
      <xdr:rowOff>190500</xdr:rowOff>
    </xdr:to>
    <xdr:cxnSp macro="">
      <xdr:nvCxnSpPr>
        <xdr:cNvPr id="10" name="9 Conector recto de flecha">
          <a:extLst>
            <a:ext uri="{FF2B5EF4-FFF2-40B4-BE49-F238E27FC236}">
              <a16:creationId xmlns:a16="http://schemas.microsoft.com/office/drawing/2014/main" id="{00000000-0008-0000-0900-00000A000000}"/>
            </a:ext>
          </a:extLst>
        </xdr:cNvPr>
        <xdr:cNvCxnSpPr/>
      </xdr:nvCxnSpPr>
      <xdr:spPr>
        <a:xfrm flipH="1">
          <a:off x="11384280" y="3787140"/>
          <a:ext cx="228600" cy="38862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156210</xdr:colOff>
      <xdr:row>21</xdr:row>
      <xdr:rowOff>0</xdr:rowOff>
    </xdr:from>
    <xdr:to>
      <xdr:col>13</xdr:col>
      <xdr:colOff>436029</xdr:colOff>
      <xdr:row>21</xdr:row>
      <xdr:rowOff>0</xdr:rowOff>
    </xdr:to>
    <xdr:cxnSp macro="">
      <xdr:nvCxnSpPr>
        <xdr:cNvPr id="11" name="10 Conector recto de flecha">
          <a:extLst>
            <a:ext uri="{FF2B5EF4-FFF2-40B4-BE49-F238E27FC236}">
              <a16:creationId xmlns:a16="http://schemas.microsoft.com/office/drawing/2014/main" id="{00000000-0008-0000-0900-00000B000000}"/>
            </a:ext>
          </a:extLst>
        </xdr:cNvPr>
        <xdr:cNvCxnSpPr/>
      </xdr:nvCxnSpPr>
      <xdr:spPr>
        <a:xfrm flipH="1">
          <a:off x="11323320" y="4396740"/>
          <a:ext cx="289560" cy="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160020</xdr:colOff>
      <xdr:row>22</xdr:row>
      <xdr:rowOff>30480</xdr:rowOff>
    </xdr:from>
    <xdr:to>
      <xdr:col>13</xdr:col>
      <xdr:colOff>514470</xdr:colOff>
      <xdr:row>24</xdr:row>
      <xdr:rowOff>30480</xdr:rowOff>
    </xdr:to>
    <xdr:cxnSp macro="">
      <xdr:nvCxnSpPr>
        <xdr:cNvPr id="12" name="11 Conector recto de flecha">
          <a:extLst>
            <a:ext uri="{FF2B5EF4-FFF2-40B4-BE49-F238E27FC236}">
              <a16:creationId xmlns:a16="http://schemas.microsoft.com/office/drawing/2014/main" id="{00000000-0008-0000-0900-00000C000000}"/>
            </a:ext>
          </a:extLst>
        </xdr:cNvPr>
        <xdr:cNvCxnSpPr/>
      </xdr:nvCxnSpPr>
      <xdr:spPr>
        <a:xfrm flipH="1" flipV="1">
          <a:off x="11346180" y="4632960"/>
          <a:ext cx="320040" cy="56388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110490</xdr:colOff>
      <xdr:row>20</xdr:row>
      <xdr:rowOff>198120</xdr:rowOff>
    </xdr:from>
    <xdr:to>
      <xdr:col>15</xdr:col>
      <xdr:colOff>309139</xdr:colOff>
      <xdr:row>21</xdr:row>
      <xdr:rowOff>0</xdr:rowOff>
    </xdr:to>
    <xdr:cxnSp macro="">
      <xdr:nvCxnSpPr>
        <xdr:cNvPr id="13" name="12 Conector recto de flecha">
          <a:extLst>
            <a:ext uri="{FF2B5EF4-FFF2-40B4-BE49-F238E27FC236}">
              <a16:creationId xmlns:a16="http://schemas.microsoft.com/office/drawing/2014/main" id="{00000000-0008-0000-0900-00000D000000}"/>
            </a:ext>
          </a:extLst>
        </xdr:cNvPr>
        <xdr:cNvCxnSpPr/>
      </xdr:nvCxnSpPr>
      <xdr:spPr>
        <a:xfrm flipH="1" flipV="1">
          <a:off x="12839700" y="4389120"/>
          <a:ext cx="190500" cy="762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76200</xdr:colOff>
      <xdr:row>18</xdr:row>
      <xdr:rowOff>30480</xdr:rowOff>
    </xdr:from>
    <xdr:to>
      <xdr:col>17</xdr:col>
      <xdr:colOff>312420</xdr:colOff>
      <xdr:row>20</xdr:row>
      <xdr:rowOff>11774</xdr:rowOff>
    </xdr:to>
    <xdr:cxnSp macro="">
      <xdr:nvCxnSpPr>
        <xdr:cNvPr id="14" name="13 Conector recto de flecha">
          <a:extLst>
            <a:ext uri="{FF2B5EF4-FFF2-40B4-BE49-F238E27FC236}">
              <a16:creationId xmlns:a16="http://schemas.microsoft.com/office/drawing/2014/main" id="{00000000-0008-0000-0900-00000E000000}"/>
            </a:ext>
          </a:extLst>
        </xdr:cNvPr>
        <xdr:cNvCxnSpPr/>
      </xdr:nvCxnSpPr>
      <xdr:spPr>
        <a:xfrm flipH="1">
          <a:off x="14333220" y="3817620"/>
          <a:ext cx="236220" cy="40386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45720</xdr:colOff>
      <xdr:row>21</xdr:row>
      <xdr:rowOff>11430</xdr:rowOff>
    </xdr:from>
    <xdr:to>
      <xdr:col>17</xdr:col>
      <xdr:colOff>312699</xdr:colOff>
      <xdr:row>21</xdr:row>
      <xdr:rowOff>15240</xdr:rowOff>
    </xdr:to>
    <xdr:cxnSp macro="">
      <xdr:nvCxnSpPr>
        <xdr:cNvPr id="15" name="14 Conector recto de flecha">
          <a:extLst>
            <a:ext uri="{FF2B5EF4-FFF2-40B4-BE49-F238E27FC236}">
              <a16:creationId xmlns:a16="http://schemas.microsoft.com/office/drawing/2014/main" id="{00000000-0008-0000-0900-00000F000000}"/>
            </a:ext>
          </a:extLst>
        </xdr:cNvPr>
        <xdr:cNvCxnSpPr/>
      </xdr:nvCxnSpPr>
      <xdr:spPr>
        <a:xfrm flipH="1">
          <a:off x="14302740" y="4427220"/>
          <a:ext cx="266700" cy="762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38100</xdr:colOff>
      <xdr:row>22</xdr:row>
      <xdr:rowOff>68580</xdr:rowOff>
    </xdr:from>
    <xdr:to>
      <xdr:col>17</xdr:col>
      <xdr:colOff>306921</xdr:colOff>
      <xdr:row>24</xdr:row>
      <xdr:rowOff>24836</xdr:rowOff>
    </xdr:to>
    <xdr:cxnSp macro="">
      <xdr:nvCxnSpPr>
        <xdr:cNvPr id="16" name="15 Conector recto de flecha">
          <a:extLst>
            <a:ext uri="{FF2B5EF4-FFF2-40B4-BE49-F238E27FC236}">
              <a16:creationId xmlns:a16="http://schemas.microsoft.com/office/drawing/2014/main" id="{00000000-0008-0000-0900-000010000000}"/>
            </a:ext>
          </a:extLst>
        </xdr:cNvPr>
        <xdr:cNvCxnSpPr/>
      </xdr:nvCxnSpPr>
      <xdr:spPr>
        <a:xfrm flipH="1" flipV="1">
          <a:off x="14295120" y="4671060"/>
          <a:ext cx="259080" cy="51816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114300</xdr:colOff>
      <xdr:row>15</xdr:row>
      <xdr:rowOff>7620</xdr:rowOff>
    </xdr:from>
    <xdr:to>
      <xdr:col>7</xdr:col>
      <xdr:colOff>352524</xdr:colOff>
      <xdr:row>15</xdr:row>
      <xdr:rowOff>7620</xdr:rowOff>
    </xdr:to>
    <xdr:cxnSp macro="">
      <xdr:nvCxnSpPr>
        <xdr:cNvPr id="17" name="16 Conector recto de flecha">
          <a:extLst>
            <a:ext uri="{FF2B5EF4-FFF2-40B4-BE49-F238E27FC236}">
              <a16:creationId xmlns:a16="http://schemas.microsoft.com/office/drawing/2014/main" id="{00000000-0008-0000-0900-000011000000}"/>
            </a:ext>
          </a:extLst>
        </xdr:cNvPr>
        <xdr:cNvCxnSpPr/>
      </xdr:nvCxnSpPr>
      <xdr:spPr>
        <a:xfrm flipH="1">
          <a:off x="6941820" y="3208020"/>
          <a:ext cx="236220" cy="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148590</xdr:colOff>
      <xdr:row>8</xdr:row>
      <xdr:rowOff>203835</xdr:rowOff>
    </xdr:from>
    <xdr:to>
      <xdr:col>20</xdr:col>
      <xdr:colOff>63</xdr:colOff>
      <xdr:row>15</xdr:row>
      <xdr:rowOff>30489</xdr:rowOff>
    </xdr:to>
    <xdr:sp macro="" textlink="">
      <xdr:nvSpPr>
        <xdr:cNvPr id="18" name="17 Llamada ovalada">
          <a:extLst>
            <a:ext uri="{FF2B5EF4-FFF2-40B4-BE49-F238E27FC236}">
              <a16:creationId xmlns:a16="http://schemas.microsoft.com/office/drawing/2014/main" id="{00000000-0008-0000-0900-000012000000}"/>
            </a:ext>
          </a:extLst>
        </xdr:cNvPr>
        <xdr:cNvSpPr/>
      </xdr:nvSpPr>
      <xdr:spPr>
        <a:xfrm>
          <a:off x="14759940" y="1851660"/>
          <a:ext cx="1821180" cy="1379220"/>
        </a:xfrm>
        <a:prstGeom prst="wedgeEllipseCallout">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es-CO"/>
        </a:p>
      </xdr:txBody>
    </xdr:sp>
    <xdr:clientData/>
  </xdr:twoCellAnchor>
  <xdr:twoCellAnchor>
    <xdr:from>
      <xdr:col>18</xdr:col>
      <xdr:colOff>430530</xdr:colOff>
      <xdr:row>9</xdr:row>
      <xdr:rowOff>15240</xdr:rowOff>
    </xdr:from>
    <xdr:to>
      <xdr:col>19</xdr:col>
      <xdr:colOff>691643</xdr:colOff>
      <xdr:row>14</xdr:row>
      <xdr:rowOff>106680</xdr:rowOff>
    </xdr:to>
    <xdr:sp macro="" textlink="">
      <xdr:nvSpPr>
        <xdr:cNvPr id="19" name="18 CuadroTexto">
          <a:extLst>
            <a:ext uri="{FF2B5EF4-FFF2-40B4-BE49-F238E27FC236}">
              <a16:creationId xmlns:a16="http://schemas.microsoft.com/office/drawing/2014/main" id="{00000000-0008-0000-0900-000013000000}"/>
            </a:ext>
          </a:extLst>
        </xdr:cNvPr>
        <xdr:cNvSpPr txBox="1"/>
      </xdr:nvSpPr>
      <xdr:spPr>
        <a:xfrm>
          <a:off x="15034260" y="2019300"/>
          <a:ext cx="1303020" cy="109728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O" sz="1100"/>
            <a:t>Este</a:t>
          </a:r>
          <a:r>
            <a:rPr lang="es-CO" sz="1100" baseline="0"/>
            <a:t> grupo  mide las entradas y el nivel  necesario de capital de trabajo</a:t>
          </a:r>
          <a:endParaRPr lang="es-CO" sz="1100"/>
        </a:p>
      </xdr:txBody>
    </xdr:sp>
    <xdr:clientData/>
  </xdr:twoCellAnchor>
  <xdr:twoCellAnchor>
    <xdr:from>
      <xdr:col>17</xdr:col>
      <xdr:colOff>0</xdr:colOff>
      <xdr:row>26</xdr:row>
      <xdr:rowOff>0</xdr:rowOff>
    </xdr:from>
    <xdr:to>
      <xdr:col>19</xdr:col>
      <xdr:colOff>422961</xdr:colOff>
      <xdr:row>33</xdr:row>
      <xdr:rowOff>78118</xdr:rowOff>
    </xdr:to>
    <xdr:sp macro="" textlink="">
      <xdr:nvSpPr>
        <xdr:cNvPr id="20" name="19 Llamada ovalada">
          <a:extLst>
            <a:ext uri="{FF2B5EF4-FFF2-40B4-BE49-F238E27FC236}">
              <a16:creationId xmlns:a16="http://schemas.microsoft.com/office/drawing/2014/main" id="{00000000-0008-0000-0900-000014000000}"/>
            </a:ext>
          </a:extLst>
        </xdr:cNvPr>
        <xdr:cNvSpPr/>
      </xdr:nvSpPr>
      <xdr:spPr>
        <a:xfrm>
          <a:off x="14257020" y="5554980"/>
          <a:ext cx="1821180" cy="1379220"/>
        </a:xfrm>
        <a:prstGeom prst="wedgeEllipseCallout">
          <a:avLst>
            <a:gd name="adj1" fmla="val -69712"/>
            <a:gd name="adj2" fmla="val -98826"/>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es-CO"/>
        </a:p>
      </xdr:txBody>
    </xdr:sp>
    <xdr:clientData/>
  </xdr:twoCellAnchor>
  <xdr:twoCellAnchor>
    <xdr:from>
      <xdr:col>17</xdr:col>
      <xdr:colOff>230505</xdr:colOff>
      <xdr:row>27</xdr:row>
      <xdr:rowOff>15240</xdr:rowOff>
    </xdr:from>
    <xdr:to>
      <xdr:col>19</xdr:col>
      <xdr:colOff>308681</xdr:colOff>
      <xdr:row>33</xdr:row>
      <xdr:rowOff>30480</xdr:rowOff>
    </xdr:to>
    <xdr:sp macro="" textlink="">
      <xdr:nvSpPr>
        <xdr:cNvPr id="21" name="20 CuadroTexto">
          <a:extLst>
            <a:ext uri="{FF2B5EF4-FFF2-40B4-BE49-F238E27FC236}">
              <a16:creationId xmlns:a16="http://schemas.microsoft.com/office/drawing/2014/main" id="{00000000-0008-0000-0900-000015000000}"/>
            </a:ext>
          </a:extLst>
        </xdr:cNvPr>
        <xdr:cNvSpPr txBox="1"/>
      </xdr:nvSpPr>
      <xdr:spPr>
        <a:xfrm>
          <a:off x="14478000" y="5775960"/>
          <a:ext cx="1485900" cy="1120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O" sz="1100"/>
            <a:t>Este</a:t>
          </a:r>
          <a:r>
            <a:rPr lang="es-CO" sz="1100" baseline="0"/>
            <a:t> indicador mide el nivel de disponble necesario para desarrollar las operaciones</a:t>
          </a:r>
          <a:endParaRPr lang="es-CO" sz="1100"/>
        </a:p>
      </xdr:txBody>
    </xdr:sp>
    <xdr:clientData/>
  </xdr:twoCellAnchor>
  <xdr:twoCellAnchor>
    <xdr:from>
      <xdr:col>15</xdr:col>
      <xdr:colOff>455295</xdr:colOff>
      <xdr:row>2</xdr:row>
      <xdr:rowOff>38100</xdr:rowOff>
    </xdr:from>
    <xdr:to>
      <xdr:col>18</xdr:col>
      <xdr:colOff>270509</xdr:colOff>
      <xdr:row>8</xdr:row>
      <xdr:rowOff>266714</xdr:rowOff>
    </xdr:to>
    <xdr:sp macro="" textlink="">
      <xdr:nvSpPr>
        <xdr:cNvPr id="22" name="21 Llamada ovalada">
          <a:extLst>
            <a:ext uri="{FF2B5EF4-FFF2-40B4-BE49-F238E27FC236}">
              <a16:creationId xmlns:a16="http://schemas.microsoft.com/office/drawing/2014/main" id="{00000000-0008-0000-0900-000016000000}"/>
            </a:ext>
          </a:extLst>
        </xdr:cNvPr>
        <xdr:cNvSpPr/>
      </xdr:nvSpPr>
      <xdr:spPr>
        <a:xfrm>
          <a:off x="13174980" y="525780"/>
          <a:ext cx="1699260" cy="1379220"/>
        </a:xfrm>
        <a:prstGeom prst="wedgeEllipseCallout">
          <a:avLst>
            <a:gd name="adj1" fmla="val -72851"/>
            <a:gd name="adj2" fmla="val 18301"/>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es-CO"/>
        </a:p>
      </xdr:txBody>
    </xdr:sp>
    <xdr:clientData/>
  </xdr:twoCellAnchor>
  <xdr:twoCellAnchor>
    <xdr:from>
      <xdr:col>16</xdr:col>
      <xdr:colOff>300990</xdr:colOff>
      <xdr:row>3</xdr:row>
      <xdr:rowOff>68580</xdr:rowOff>
    </xdr:from>
    <xdr:to>
      <xdr:col>18</xdr:col>
      <xdr:colOff>110367</xdr:colOff>
      <xdr:row>8</xdr:row>
      <xdr:rowOff>165783</xdr:rowOff>
    </xdr:to>
    <xdr:sp macro="" textlink="">
      <xdr:nvSpPr>
        <xdr:cNvPr id="23" name="22 CuadroTexto">
          <a:extLst>
            <a:ext uri="{FF2B5EF4-FFF2-40B4-BE49-F238E27FC236}">
              <a16:creationId xmlns:a16="http://schemas.microsoft.com/office/drawing/2014/main" id="{00000000-0008-0000-0900-000017000000}"/>
            </a:ext>
          </a:extLst>
        </xdr:cNvPr>
        <xdr:cNvSpPr txBox="1"/>
      </xdr:nvSpPr>
      <xdr:spPr>
        <a:xfrm>
          <a:off x="13479780" y="739140"/>
          <a:ext cx="1242060" cy="1074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lang="es-CO" sz="1100"/>
            <a:t>Este grupo mide</a:t>
          </a:r>
          <a:r>
            <a:rPr lang="es-CO" sz="1100" baseline="0"/>
            <a:t> el riesgo crediticio y su impacto en la situacion financiera </a:t>
          </a:r>
          <a:endParaRPr lang="es-CO" sz="1100"/>
        </a:p>
      </xdr:txBody>
    </xdr:sp>
    <xdr:clientData/>
  </xdr:twoCellAnchor>
  <xdr:twoCellAnchor>
    <xdr:from>
      <xdr:col>14</xdr:col>
      <xdr:colOff>232410</xdr:colOff>
      <xdr:row>27</xdr:row>
      <xdr:rowOff>114300</xdr:rowOff>
    </xdr:from>
    <xdr:to>
      <xdr:col>16</xdr:col>
      <xdr:colOff>931553</xdr:colOff>
      <xdr:row>35</xdr:row>
      <xdr:rowOff>56</xdr:rowOff>
    </xdr:to>
    <xdr:sp macro="" textlink="">
      <xdr:nvSpPr>
        <xdr:cNvPr id="24" name="23 Llamada ovalada">
          <a:extLst>
            <a:ext uri="{FF2B5EF4-FFF2-40B4-BE49-F238E27FC236}">
              <a16:creationId xmlns:a16="http://schemas.microsoft.com/office/drawing/2014/main" id="{00000000-0008-0000-0900-000018000000}"/>
            </a:ext>
          </a:extLst>
        </xdr:cNvPr>
        <xdr:cNvSpPr/>
      </xdr:nvSpPr>
      <xdr:spPr>
        <a:xfrm>
          <a:off x="11917680" y="5867400"/>
          <a:ext cx="2164080" cy="1379220"/>
        </a:xfrm>
        <a:prstGeom prst="wedgeEllipseCallout">
          <a:avLst>
            <a:gd name="adj1" fmla="val -23812"/>
            <a:gd name="adj2" fmla="val -83357"/>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es-CO"/>
        </a:p>
      </xdr:txBody>
    </xdr:sp>
    <xdr:clientData/>
  </xdr:twoCellAnchor>
  <xdr:twoCellAnchor>
    <xdr:from>
      <xdr:col>14</xdr:col>
      <xdr:colOff>392430</xdr:colOff>
      <xdr:row>28</xdr:row>
      <xdr:rowOff>121920</xdr:rowOff>
    </xdr:from>
    <xdr:to>
      <xdr:col>16</xdr:col>
      <xdr:colOff>701066</xdr:colOff>
      <xdr:row>34</xdr:row>
      <xdr:rowOff>83820</xdr:rowOff>
    </xdr:to>
    <xdr:sp macro="" textlink="">
      <xdr:nvSpPr>
        <xdr:cNvPr id="25" name="24 CuadroTexto">
          <a:extLst>
            <a:ext uri="{FF2B5EF4-FFF2-40B4-BE49-F238E27FC236}">
              <a16:creationId xmlns:a16="http://schemas.microsoft.com/office/drawing/2014/main" id="{00000000-0008-0000-0900-000019000000}"/>
            </a:ext>
          </a:extLst>
        </xdr:cNvPr>
        <xdr:cNvSpPr txBox="1"/>
      </xdr:nvSpPr>
      <xdr:spPr>
        <a:xfrm>
          <a:off x="12077700" y="6080760"/>
          <a:ext cx="1783080" cy="1059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O" sz="1100"/>
            <a:t>Este grupo mide el impacto del uso de</a:t>
          </a:r>
          <a:r>
            <a:rPr lang="es-CO" sz="1100" baseline="0"/>
            <a:t> las fuentes de financiacion en la estructura financiera</a:t>
          </a:r>
          <a:endParaRPr lang="es-CO" sz="1100"/>
        </a:p>
      </xdr:txBody>
    </xdr:sp>
    <xdr:clientData/>
  </xdr:twoCellAnchor>
  <xdr:twoCellAnchor>
    <xdr:from>
      <xdr:col>11</xdr:col>
      <xdr:colOff>121920</xdr:colOff>
      <xdr:row>27</xdr:row>
      <xdr:rowOff>0</xdr:rowOff>
    </xdr:from>
    <xdr:to>
      <xdr:col>13</xdr:col>
      <xdr:colOff>361890</xdr:colOff>
      <xdr:row>34</xdr:row>
      <xdr:rowOff>83820</xdr:rowOff>
    </xdr:to>
    <xdr:sp macro="" textlink="">
      <xdr:nvSpPr>
        <xdr:cNvPr id="26" name="25 Llamada ovalada">
          <a:extLst>
            <a:ext uri="{FF2B5EF4-FFF2-40B4-BE49-F238E27FC236}">
              <a16:creationId xmlns:a16="http://schemas.microsoft.com/office/drawing/2014/main" id="{00000000-0008-0000-0900-00001A000000}"/>
            </a:ext>
          </a:extLst>
        </xdr:cNvPr>
        <xdr:cNvSpPr/>
      </xdr:nvSpPr>
      <xdr:spPr>
        <a:xfrm>
          <a:off x="9745980" y="5753100"/>
          <a:ext cx="1798320" cy="1379220"/>
        </a:xfrm>
        <a:prstGeom prst="wedgeEllipseCallout">
          <a:avLst>
            <a:gd name="adj1" fmla="val 603"/>
            <a:gd name="adj2" fmla="val -72860"/>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es-CO"/>
        </a:p>
      </xdr:txBody>
    </xdr:sp>
    <xdr:clientData/>
  </xdr:twoCellAnchor>
  <xdr:twoCellAnchor>
    <xdr:from>
      <xdr:col>11</xdr:col>
      <xdr:colOff>430530</xdr:colOff>
      <xdr:row>28</xdr:row>
      <xdr:rowOff>7620</xdr:rowOff>
    </xdr:from>
    <xdr:to>
      <xdr:col>13</xdr:col>
      <xdr:colOff>243906</xdr:colOff>
      <xdr:row>33</xdr:row>
      <xdr:rowOff>120097</xdr:rowOff>
    </xdr:to>
    <xdr:sp macro="" textlink="">
      <xdr:nvSpPr>
        <xdr:cNvPr id="27" name="26 CuadroTexto">
          <a:extLst>
            <a:ext uri="{FF2B5EF4-FFF2-40B4-BE49-F238E27FC236}">
              <a16:creationId xmlns:a16="http://schemas.microsoft.com/office/drawing/2014/main" id="{00000000-0008-0000-0900-00001B000000}"/>
            </a:ext>
          </a:extLst>
        </xdr:cNvPr>
        <xdr:cNvSpPr txBox="1"/>
      </xdr:nvSpPr>
      <xdr:spPr>
        <a:xfrm>
          <a:off x="10027920" y="5966460"/>
          <a:ext cx="138684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O" sz="1100"/>
            <a:t>Este</a:t>
          </a:r>
          <a:r>
            <a:rPr lang="es-CO" sz="1100" baseline="0"/>
            <a:t> grupo mide la generacion y disminucion de las inversiones en cartera.</a:t>
          </a:r>
          <a:endParaRPr lang="es-CO" sz="1100"/>
        </a:p>
      </xdr:txBody>
    </xdr:sp>
    <xdr:clientData/>
  </xdr:twoCellAnchor>
  <xdr:twoCellAnchor>
    <xdr:from>
      <xdr:col>6</xdr:col>
      <xdr:colOff>1038225</xdr:colOff>
      <xdr:row>24</xdr:row>
      <xdr:rowOff>192405</xdr:rowOff>
    </xdr:from>
    <xdr:to>
      <xdr:col>9</xdr:col>
      <xdr:colOff>230493</xdr:colOff>
      <xdr:row>32</xdr:row>
      <xdr:rowOff>45710</xdr:rowOff>
    </xdr:to>
    <xdr:sp macro="" textlink="">
      <xdr:nvSpPr>
        <xdr:cNvPr id="28" name="27 Llamada ovalada">
          <a:extLst>
            <a:ext uri="{FF2B5EF4-FFF2-40B4-BE49-F238E27FC236}">
              <a16:creationId xmlns:a16="http://schemas.microsoft.com/office/drawing/2014/main" id="{00000000-0008-0000-0900-00001C000000}"/>
            </a:ext>
          </a:extLst>
        </xdr:cNvPr>
        <xdr:cNvSpPr/>
      </xdr:nvSpPr>
      <xdr:spPr>
        <a:xfrm>
          <a:off x="6758940" y="5349240"/>
          <a:ext cx="1790732" cy="1386840"/>
        </a:xfrm>
        <a:prstGeom prst="wedgeEllipseCallout">
          <a:avLst>
            <a:gd name="adj1" fmla="val 51946"/>
            <a:gd name="adj2" fmla="val -45882"/>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es-CO"/>
        </a:p>
      </xdr:txBody>
    </xdr:sp>
    <xdr:clientData/>
  </xdr:twoCellAnchor>
  <xdr:twoCellAnchor>
    <xdr:from>
      <xdr:col>7</xdr:col>
      <xdr:colOff>116205</xdr:colOff>
      <xdr:row>25</xdr:row>
      <xdr:rowOff>169545</xdr:rowOff>
    </xdr:from>
    <xdr:to>
      <xdr:col>9</xdr:col>
      <xdr:colOff>32372</xdr:colOff>
      <xdr:row>31</xdr:row>
      <xdr:rowOff>37959</xdr:rowOff>
    </xdr:to>
    <xdr:sp macro="" textlink="">
      <xdr:nvSpPr>
        <xdr:cNvPr id="29" name="28 CuadroTexto">
          <a:extLst>
            <a:ext uri="{FF2B5EF4-FFF2-40B4-BE49-F238E27FC236}">
              <a16:creationId xmlns:a16="http://schemas.microsoft.com/office/drawing/2014/main" id="{00000000-0008-0000-0900-00001D000000}"/>
            </a:ext>
          </a:extLst>
        </xdr:cNvPr>
        <xdr:cNvSpPr txBox="1"/>
      </xdr:nvSpPr>
      <xdr:spPr>
        <a:xfrm>
          <a:off x="6928485" y="5532120"/>
          <a:ext cx="1424940" cy="10211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O" sz="1100"/>
            <a:t>Este</a:t>
          </a:r>
          <a:r>
            <a:rPr lang="es-CO" sz="1100" baseline="0"/>
            <a:t> indicador mide el nivel de inversion requerida para generar los  ingresos</a:t>
          </a:r>
          <a:endParaRPr lang="es-CO" sz="1100"/>
        </a:p>
      </xdr:txBody>
    </xdr:sp>
    <xdr:clientData/>
  </xdr:twoCellAnchor>
  <xdr:twoCellAnchor>
    <xdr:from>
      <xdr:col>7</xdr:col>
      <xdr:colOff>314325</xdr:colOff>
      <xdr:row>2</xdr:row>
      <xdr:rowOff>0</xdr:rowOff>
    </xdr:from>
    <xdr:to>
      <xdr:col>10</xdr:col>
      <xdr:colOff>114379</xdr:colOff>
      <xdr:row>8</xdr:row>
      <xdr:rowOff>228614</xdr:rowOff>
    </xdr:to>
    <xdr:sp macro="" textlink="">
      <xdr:nvSpPr>
        <xdr:cNvPr id="30" name="29 Llamada ovalada">
          <a:extLst>
            <a:ext uri="{FF2B5EF4-FFF2-40B4-BE49-F238E27FC236}">
              <a16:creationId xmlns:a16="http://schemas.microsoft.com/office/drawing/2014/main" id="{00000000-0008-0000-0900-00001E000000}"/>
            </a:ext>
          </a:extLst>
        </xdr:cNvPr>
        <xdr:cNvSpPr/>
      </xdr:nvSpPr>
      <xdr:spPr>
        <a:xfrm>
          <a:off x="7132320" y="487680"/>
          <a:ext cx="1699260" cy="1379220"/>
        </a:xfrm>
        <a:prstGeom prst="wedgeEllipseCallout">
          <a:avLst>
            <a:gd name="adj1" fmla="val 31633"/>
            <a:gd name="adj2" fmla="val 61395"/>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es-CO"/>
        </a:p>
      </xdr:txBody>
    </xdr:sp>
    <xdr:clientData/>
  </xdr:twoCellAnchor>
  <xdr:twoCellAnchor>
    <xdr:from>
      <xdr:col>8</xdr:col>
      <xdr:colOff>121920</xdr:colOff>
      <xdr:row>3</xdr:row>
      <xdr:rowOff>45720</xdr:rowOff>
    </xdr:from>
    <xdr:to>
      <xdr:col>10</xdr:col>
      <xdr:colOff>38142</xdr:colOff>
      <xdr:row>7</xdr:row>
      <xdr:rowOff>160086</xdr:rowOff>
    </xdr:to>
    <xdr:sp macro="" textlink="">
      <xdr:nvSpPr>
        <xdr:cNvPr id="31" name="30 CuadroTexto">
          <a:extLst>
            <a:ext uri="{FF2B5EF4-FFF2-40B4-BE49-F238E27FC236}">
              <a16:creationId xmlns:a16="http://schemas.microsoft.com/office/drawing/2014/main" id="{00000000-0008-0000-0900-00001F000000}"/>
            </a:ext>
          </a:extLst>
        </xdr:cNvPr>
        <xdr:cNvSpPr txBox="1"/>
      </xdr:nvSpPr>
      <xdr:spPr>
        <a:xfrm>
          <a:off x="7353300" y="723900"/>
          <a:ext cx="1386840" cy="883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O" sz="1100"/>
            <a:t>Este mide el</a:t>
          </a:r>
          <a:r>
            <a:rPr lang="es-CO" sz="1100" baseline="0"/>
            <a:t> control y gestion de los gastos admon, y los costos operacionales</a:t>
          </a:r>
          <a:endParaRPr lang="es-CO" sz="1100"/>
        </a:p>
      </xdr:txBody>
    </xdr:sp>
    <xdr:clientData/>
  </xdr:twoCellAnchor>
  <xdr:twoCellAnchor>
    <xdr:from>
      <xdr:col>6</xdr:col>
      <xdr:colOff>160020</xdr:colOff>
      <xdr:row>17</xdr:row>
      <xdr:rowOff>144780</xdr:rowOff>
    </xdr:from>
    <xdr:to>
      <xdr:col>8</xdr:col>
      <xdr:colOff>363947</xdr:colOff>
      <xdr:row>24</xdr:row>
      <xdr:rowOff>146704</xdr:rowOff>
    </xdr:to>
    <xdr:sp macro="" textlink="">
      <xdr:nvSpPr>
        <xdr:cNvPr id="32" name="31 Llamada ovalada">
          <a:extLst>
            <a:ext uri="{FF2B5EF4-FFF2-40B4-BE49-F238E27FC236}">
              <a16:creationId xmlns:a16="http://schemas.microsoft.com/office/drawing/2014/main" id="{00000000-0008-0000-0900-000020000000}"/>
            </a:ext>
          </a:extLst>
        </xdr:cNvPr>
        <xdr:cNvSpPr/>
      </xdr:nvSpPr>
      <xdr:spPr>
        <a:xfrm>
          <a:off x="5897880" y="3741420"/>
          <a:ext cx="1699260" cy="1546860"/>
        </a:xfrm>
        <a:prstGeom prst="wedgeEllipseCallout">
          <a:avLst>
            <a:gd name="adj1" fmla="val 37014"/>
            <a:gd name="adj2" fmla="val -70097"/>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es-CO"/>
        </a:p>
      </xdr:txBody>
    </xdr:sp>
    <xdr:clientData/>
  </xdr:twoCellAnchor>
  <xdr:twoCellAnchor>
    <xdr:from>
      <xdr:col>5</xdr:col>
      <xdr:colOff>76200</xdr:colOff>
      <xdr:row>6</xdr:row>
      <xdr:rowOff>38100</xdr:rowOff>
    </xdr:from>
    <xdr:to>
      <xdr:col>6</xdr:col>
      <xdr:colOff>984796</xdr:colOff>
      <xdr:row>12</xdr:row>
      <xdr:rowOff>45772</xdr:rowOff>
    </xdr:to>
    <xdr:sp macro="" textlink="">
      <xdr:nvSpPr>
        <xdr:cNvPr id="33" name="32 Llamada ovalada">
          <a:extLst>
            <a:ext uri="{FF2B5EF4-FFF2-40B4-BE49-F238E27FC236}">
              <a16:creationId xmlns:a16="http://schemas.microsoft.com/office/drawing/2014/main" id="{00000000-0008-0000-0900-000021000000}"/>
            </a:ext>
          </a:extLst>
        </xdr:cNvPr>
        <xdr:cNvSpPr/>
      </xdr:nvSpPr>
      <xdr:spPr>
        <a:xfrm>
          <a:off x="4648200" y="1295400"/>
          <a:ext cx="2065020" cy="1379220"/>
        </a:xfrm>
        <a:prstGeom prst="wedgeEllipseCallout">
          <a:avLst>
            <a:gd name="adj1" fmla="val 39262"/>
            <a:gd name="adj2" fmla="val 56975"/>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es-CO"/>
        </a:p>
      </xdr:txBody>
    </xdr:sp>
    <xdr:clientData/>
  </xdr:twoCellAnchor>
  <xdr:twoCellAnchor>
    <xdr:from>
      <xdr:col>6</xdr:col>
      <xdr:colOff>430530</xdr:colOff>
      <xdr:row>19</xdr:row>
      <xdr:rowOff>0</xdr:rowOff>
    </xdr:from>
    <xdr:to>
      <xdr:col>8</xdr:col>
      <xdr:colOff>154268</xdr:colOff>
      <xdr:row>23</xdr:row>
      <xdr:rowOff>123945</xdr:rowOff>
    </xdr:to>
    <xdr:sp macro="" textlink="">
      <xdr:nvSpPr>
        <xdr:cNvPr id="34" name="33 CuadroTexto">
          <a:extLst>
            <a:ext uri="{FF2B5EF4-FFF2-40B4-BE49-F238E27FC236}">
              <a16:creationId xmlns:a16="http://schemas.microsoft.com/office/drawing/2014/main" id="{00000000-0008-0000-0900-000022000000}"/>
            </a:ext>
          </a:extLst>
        </xdr:cNvPr>
        <xdr:cNvSpPr txBox="1"/>
      </xdr:nvSpPr>
      <xdr:spPr>
        <a:xfrm>
          <a:off x="6172200" y="3977640"/>
          <a:ext cx="1196340" cy="1127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lang="es-CO" sz="1100"/>
            <a:t>Este</a:t>
          </a:r>
          <a:r>
            <a:rPr lang="es-CO" sz="1100" baseline="0"/>
            <a:t> indicador mide la rentabilidad generada por la cartera vigente</a:t>
          </a:r>
          <a:endParaRPr lang="es-CO" sz="1100"/>
        </a:p>
      </xdr:txBody>
    </xdr:sp>
    <xdr:clientData/>
  </xdr:twoCellAnchor>
  <xdr:twoCellAnchor>
    <xdr:from>
      <xdr:col>5</xdr:col>
      <xdr:colOff>314325</xdr:colOff>
      <xdr:row>7</xdr:row>
      <xdr:rowOff>76200</xdr:rowOff>
    </xdr:from>
    <xdr:to>
      <xdr:col>6</xdr:col>
      <xdr:colOff>728038</xdr:colOff>
      <xdr:row>10</xdr:row>
      <xdr:rowOff>165823</xdr:rowOff>
    </xdr:to>
    <xdr:sp macro="" textlink="">
      <xdr:nvSpPr>
        <xdr:cNvPr id="35" name="34 CuadroTexto">
          <a:extLst>
            <a:ext uri="{FF2B5EF4-FFF2-40B4-BE49-F238E27FC236}">
              <a16:creationId xmlns:a16="http://schemas.microsoft.com/office/drawing/2014/main" id="{00000000-0008-0000-0900-000023000000}"/>
            </a:ext>
          </a:extLst>
        </xdr:cNvPr>
        <xdr:cNvSpPr txBox="1"/>
      </xdr:nvSpPr>
      <xdr:spPr>
        <a:xfrm>
          <a:off x="4876800" y="1524000"/>
          <a:ext cx="1592580" cy="853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O" sz="1100"/>
            <a:t>Este indicador</a:t>
          </a:r>
          <a:r>
            <a:rPr lang="es-CO" sz="1100" baseline="0"/>
            <a:t> mide la eficiencia de la gestion administrativa en las operaciones del negocio</a:t>
          </a:r>
          <a:endParaRPr lang="es-CO" sz="1100"/>
        </a:p>
      </xdr:txBody>
    </xdr:sp>
    <xdr:clientData/>
  </xdr:twoCellAnchor>
  <xdr:twoCellAnchor>
    <xdr:from>
      <xdr:col>11</xdr:col>
      <xdr:colOff>99060</xdr:colOff>
      <xdr:row>22</xdr:row>
      <xdr:rowOff>342900</xdr:rowOff>
    </xdr:from>
    <xdr:to>
      <xdr:col>11</xdr:col>
      <xdr:colOff>368440</xdr:colOff>
      <xdr:row>24</xdr:row>
      <xdr:rowOff>103346</xdr:rowOff>
    </xdr:to>
    <xdr:cxnSp macro="">
      <xdr:nvCxnSpPr>
        <xdr:cNvPr id="36" name="35 Conector recto de flecha">
          <a:extLst>
            <a:ext uri="{FF2B5EF4-FFF2-40B4-BE49-F238E27FC236}">
              <a16:creationId xmlns:a16="http://schemas.microsoft.com/office/drawing/2014/main" id="{00000000-0008-0000-0900-000024000000}"/>
            </a:ext>
          </a:extLst>
        </xdr:cNvPr>
        <xdr:cNvCxnSpPr/>
      </xdr:nvCxnSpPr>
      <xdr:spPr>
        <a:xfrm flipH="1">
          <a:off x="9723120" y="4937760"/>
          <a:ext cx="253722" cy="31242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480060</xdr:colOff>
      <xdr:row>22</xdr:row>
      <xdr:rowOff>62865</xdr:rowOff>
    </xdr:from>
    <xdr:to>
      <xdr:col>10</xdr:col>
      <xdr:colOff>482078</xdr:colOff>
      <xdr:row>22</xdr:row>
      <xdr:rowOff>321945</xdr:rowOff>
    </xdr:to>
    <xdr:cxnSp macro="">
      <xdr:nvCxnSpPr>
        <xdr:cNvPr id="37" name="36 Conector recto de flecha">
          <a:extLst>
            <a:ext uri="{FF2B5EF4-FFF2-40B4-BE49-F238E27FC236}">
              <a16:creationId xmlns:a16="http://schemas.microsoft.com/office/drawing/2014/main" id="{00000000-0008-0000-0900-000025000000}"/>
            </a:ext>
          </a:extLst>
        </xdr:cNvPr>
        <xdr:cNvCxnSpPr/>
      </xdr:nvCxnSpPr>
      <xdr:spPr>
        <a:xfrm flipH="1" flipV="1">
          <a:off x="9212580" y="4648200"/>
          <a:ext cx="2018" cy="25908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110490</xdr:colOff>
      <xdr:row>3</xdr:row>
      <xdr:rowOff>106680</xdr:rowOff>
    </xdr:from>
    <xdr:to>
      <xdr:col>13</xdr:col>
      <xdr:colOff>394468</xdr:colOff>
      <xdr:row>9</xdr:row>
      <xdr:rowOff>152400</xdr:rowOff>
    </xdr:to>
    <xdr:sp macro="" textlink="">
      <xdr:nvSpPr>
        <xdr:cNvPr id="2" name="1 Cerrar llave">
          <a:extLst>
            <a:ext uri="{FF2B5EF4-FFF2-40B4-BE49-F238E27FC236}">
              <a16:creationId xmlns:a16="http://schemas.microsoft.com/office/drawing/2014/main" id="{00000000-0008-0000-0A00-000002000000}"/>
            </a:ext>
          </a:extLst>
        </xdr:cNvPr>
        <xdr:cNvSpPr/>
      </xdr:nvSpPr>
      <xdr:spPr>
        <a:xfrm>
          <a:off x="11586210" y="777240"/>
          <a:ext cx="272295" cy="1379220"/>
        </a:xfrm>
        <a:prstGeom prst="rightBrace">
          <a:avLst/>
        </a:prstGeom>
        <a:ln w="19050">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s-CO"/>
        </a:p>
      </xdr:txBody>
    </xdr:sp>
    <xdr:clientData/>
  </xdr:twoCellAnchor>
  <xdr:twoCellAnchor>
    <xdr:from>
      <xdr:col>10</xdr:col>
      <xdr:colOff>899160</xdr:colOff>
      <xdr:row>3</xdr:row>
      <xdr:rowOff>7620</xdr:rowOff>
    </xdr:from>
    <xdr:to>
      <xdr:col>11</xdr:col>
      <xdr:colOff>429827</xdr:colOff>
      <xdr:row>7</xdr:row>
      <xdr:rowOff>87773</xdr:rowOff>
    </xdr:to>
    <xdr:cxnSp macro="">
      <xdr:nvCxnSpPr>
        <xdr:cNvPr id="3" name="2 Conector recto de flecha">
          <a:extLst>
            <a:ext uri="{FF2B5EF4-FFF2-40B4-BE49-F238E27FC236}">
              <a16:creationId xmlns:a16="http://schemas.microsoft.com/office/drawing/2014/main" id="{00000000-0008-0000-0A00-000003000000}"/>
            </a:ext>
          </a:extLst>
        </xdr:cNvPr>
        <xdr:cNvCxnSpPr/>
      </xdr:nvCxnSpPr>
      <xdr:spPr>
        <a:xfrm flipH="1">
          <a:off x="9593580" y="678180"/>
          <a:ext cx="540409" cy="857393"/>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76200</xdr:colOff>
      <xdr:row>10</xdr:row>
      <xdr:rowOff>0</xdr:rowOff>
    </xdr:from>
    <xdr:to>
      <xdr:col>11</xdr:col>
      <xdr:colOff>437834</xdr:colOff>
      <xdr:row>10</xdr:row>
      <xdr:rowOff>0</xdr:rowOff>
    </xdr:to>
    <xdr:cxnSp macro="">
      <xdr:nvCxnSpPr>
        <xdr:cNvPr id="4" name="3 Conector recto de flecha">
          <a:extLst>
            <a:ext uri="{FF2B5EF4-FFF2-40B4-BE49-F238E27FC236}">
              <a16:creationId xmlns:a16="http://schemas.microsoft.com/office/drawing/2014/main" id="{00000000-0008-0000-0A00-000004000000}"/>
            </a:ext>
          </a:extLst>
        </xdr:cNvPr>
        <xdr:cNvCxnSpPr/>
      </xdr:nvCxnSpPr>
      <xdr:spPr>
        <a:xfrm flipH="1" flipV="1">
          <a:off x="9791700" y="2202180"/>
          <a:ext cx="350304" cy="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76200</xdr:colOff>
      <xdr:row>11</xdr:row>
      <xdr:rowOff>45720</xdr:rowOff>
    </xdr:from>
    <xdr:to>
      <xdr:col>11</xdr:col>
      <xdr:colOff>437973</xdr:colOff>
      <xdr:row>13</xdr:row>
      <xdr:rowOff>30480</xdr:rowOff>
    </xdr:to>
    <xdr:cxnSp macro="">
      <xdr:nvCxnSpPr>
        <xdr:cNvPr id="5" name="4 Conector recto de flecha">
          <a:extLst>
            <a:ext uri="{FF2B5EF4-FFF2-40B4-BE49-F238E27FC236}">
              <a16:creationId xmlns:a16="http://schemas.microsoft.com/office/drawing/2014/main" id="{00000000-0008-0000-0A00-000005000000}"/>
            </a:ext>
          </a:extLst>
        </xdr:cNvPr>
        <xdr:cNvCxnSpPr/>
      </xdr:nvCxnSpPr>
      <xdr:spPr>
        <a:xfrm flipH="1" flipV="1">
          <a:off x="9791700" y="2446020"/>
          <a:ext cx="350440" cy="39624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678180</xdr:colOff>
      <xdr:row>11</xdr:row>
      <xdr:rowOff>177165</xdr:rowOff>
    </xdr:from>
    <xdr:to>
      <xdr:col>11</xdr:col>
      <xdr:colOff>438343</xdr:colOff>
      <xdr:row>16</xdr:row>
      <xdr:rowOff>69</xdr:rowOff>
    </xdr:to>
    <xdr:cxnSp macro="">
      <xdr:nvCxnSpPr>
        <xdr:cNvPr id="6" name="5 Conector recto de flecha">
          <a:extLst>
            <a:ext uri="{FF2B5EF4-FFF2-40B4-BE49-F238E27FC236}">
              <a16:creationId xmlns:a16="http://schemas.microsoft.com/office/drawing/2014/main" id="{00000000-0008-0000-0A00-000006000000}"/>
            </a:ext>
          </a:extLst>
        </xdr:cNvPr>
        <xdr:cNvCxnSpPr/>
      </xdr:nvCxnSpPr>
      <xdr:spPr>
        <a:xfrm flipH="1" flipV="1">
          <a:off x="9384030" y="2577465"/>
          <a:ext cx="758402" cy="828744"/>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929640</xdr:colOff>
      <xdr:row>9</xdr:row>
      <xdr:rowOff>167640</xdr:rowOff>
    </xdr:from>
    <xdr:to>
      <xdr:col>9</xdr:col>
      <xdr:colOff>308477</xdr:colOff>
      <xdr:row>12</xdr:row>
      <xdr:rowOff>160020</xdr:rowOff>
    </xdr:to>
    <xdr:cxnSp macro="">
      <xdr:nvCxnSpPr>
        <xdr:cNvPr id="7" name="6 Conector recto de flecha">
          <a:extLst>
            <a:ext uri="{FF2B5EF4-FFF2-40B4-BE49-F238E27FC236}">
              <a16:creationId xmlns:a16="http://schemas.microsoft.com/office/drawing/2014/main" id="{00000000-0008-0000-0A00-000007000000}"/>
            </a:ext>
          </a:extLst>
        </xdr:cNvPr>
        <xdr:cNvCxnSpPr/>
      </xdr:nvCxnSpPr>
      <xdr:spPr>
        <a:xfrm flipH="1">
          <a:off x="8145780" y="2171700"/>
          <a:ext cx="479941" cy="59436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739140</xdr:colOff>
      <xdr:row>16</xdr:row>
      <xdr:rowOff>51435</xdr:rowOff>
    </xdr:from>
    <xdr:to>
      <xdr:col>9</xdr:col>
      <xdr:colOff>271041</xdr:colOff>
      <xdr:row>20</xdr:row>
      <xdr:rowOff>87643</xdr:rowOff>
    </xdr:to>
    <xdr:cxnSp macro="">
      <xdr:nvCxnSpPr>
        <xdr:cNvPr id="8" name="7 Conector recto de flecha">
          <a:extLst>
            <a:ext uri="{FF2B5EF4-FFF2-40B4-BE49-F238E27FC236}">
              <a16:creationId xmlns:a16="http://schemas.microsoft.com/office/drawing/2014/main" id="{00000000-0008-0000-0A00-000008000000}"/>
            </a:ext>
          </a:extLst>
        </xdr:cNvPr>
        <xdr:cNvCxnSpPr/>
      </xdr:nvCxnSpPr>
      <xdr:spPr>
        <a:xfrm flipH="1" flipV="1">
          <a:off x="7974330" y="3457575"/>
          <a:ext cx="606151" cy="821068"/>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198120</xdr:colOff>
      <xdr:row>18</xdr:row>
      <xdr:rowOff>0</xdr:rowOff>
    </xdr:from>
    <xdr:to>
      <xdr:col>13</xdr:col>
      <xdr:colOff>438140</xdr:colOff>
      <xdr:row>19</xdr:row>
      <xdr:rowOff>190500</xdr:rowOff>
    </xdr:to>
    <xdr:cxnSp macro="">
      <xdr:nvCxnSpPr>
        <xdr:cNvPr id="9" name="8 Conector recto de flecha">
          <a:extLst>
            <a:ext uri="{FF2B5EF4-FFF2-40B4-BE49-F238E27FC236}">
              <a16:creationId xmlns:a16="http://schemas.microsoft.com/office/drawing/2014/main" id="{00000000-0008-0000-0A00-000009000000}"/>
            </a:ext>
          </a:extLst>
        </xdr:cNvPr>
        <xdr:cNvCxnSpPr/>
      </xdr:nvCxnSpPr>
      <xdr:spPr>
        <a:xfrm flipH="1">
          <a:off x="11673840" y="3787140"/>
          <a:ext cx="228576" cy="38862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156210</xdr:colOff>
      <xdr:row>21</xdr:row>
      <xdr:rowOff>0</xdr:rowOff>
    </xdr:from>
    <xdr:to>
      <xdr:col>13</xdr:col>
      <xdr:colOff>436029</xdr:colOff>
      <xdr:row>21</xdr:row>
      <xdr:rowOff>0</xdr:rowOff>
    </xdr:to>
    <xdr:cxnSp macro="">
      <xdr:nvCxnSpPr>
        <xdr:cNvPr id="10" name="9 Conector recto de flecha">
          <a:extLst>
            <a:ext uri="{FF2B5EF4-FFF2-40B4-BE49-F238E27FC236}">
              <a16:creationId xmlns:a16="http://schemas.microsoft.com/office/drawing/2014/main" id="{00000000-0008-0000-0A00-00000A000000}"/>
            </a:ext>
          </a:extLst>
        </xdr:cNvPr>
        <xdr:cNvCxnSpPr/>
      </xdr:nvCxnSpPr>
      <xdr:spPr>
        <a:xfrm flipH="1">
          <a:off x="11620500" y="4396740"/>
          <a:ext cx="278220" cy="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160020</xdr:colOff>
      <xdr:row>22</xdr:row>
      <xdr:rowOff>30480</xdr:rowOff>
    </xdr:from>
    <xdr:to>
      <xdr:col>13</xdr:col>
      <xdr:colOff>514470</xdr:colOff>
      <xdr:row>24</xdr:row>
      <xdr:rowOff>30480</xdr:rowOff>
    </xdr:to>
    <xdr:cxnSp macro="">
      <xdr:nvCxnSpPr>
        <xdr:cNvPr id="11" name="10 Conector recto de flecha">
          <a:extLst>
            <a:ext uri="{FF2B5EF4-FFF2-40B4-BE49-F238E27FC236}">
              <a16:creationId xmlns:a16="http://schemas.microsoft.com/office/drawing/2014/main" id="{00000000-0008-0000-0A00-00000B000000}"/>
            </a:ext>
          </a:extLst>
        </xdr:cNvPr>
        <xdr:cNvCxnSpPr/>
      </xdr:nvCxnSpPr>
      <xdr:spPr>
        <a:xfrm flipH="1" flipV="1">
          <a:off x="11635740" y="4632960"/>
          <a:ext cx="343006" cy="57150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110490</xdr:colOff>
      <xdr:row>20</xdr:row>
      <xdr:rowOff>198120</xdr:rowOff>
    </xdr:from>
    <xdr:to>
      <xdr:col>15</xdr:col>
      <xdr:colOff>309139</xdr:colOff>
      <xdr:row>21</xdr:row>
      <xdr:rowOff>0</xdr:rowOff>
    </xdr:to>
    <xdr:cxnSp macro="">
      <xdr:nvCxnSpPr>
        <xdr:cNvPr id="12" name="11 Conector recto de flecha">
          <a:extLst>
            <a:ext uri="{FF2B5EF4-FFF2-40B4-BE49-F238E27FC236}">
              <a16:creationId xmlns:a16="http://schemas.microsoft.com/office/drawing/2014/main" id="{00000000-0008-0000-0A00-00000C000000}"/>
            </a:ext>
          </a:extLst>
        </xdr:cNvPr>
        <xdr:cNvCxnSpPr/>
      </xdr:nvCxnSpPr>
      <xdr:spPr>
        <a:xfrm flipH="1" flipV="1">
          <a:off x="13140690" y="4389120"/>
          <a:ext cx="186751" cy="762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76200</xdr:colOff>
      <xdr:row>18</xdr:row>
      <xdr:rowOff>30480</xdr:rowOff>
    </xdr:from>
    <xdr:to>
      <xdr:col>17</xdr:col>
      <xdr:colOff>312420</xdr:colOff>
      <xdr:row>20</xdr:row>
      <xdr:rowOff>11774</xdr:rowOff>
    </xdr:to>
    <xdr:cxnSp macro="">
      <xdr:nvCxnSpPr>
        <xdr:cNvPr id="13" name="12 Conector recto de flecha">
          <a:extLst>
            <a:ext uri="{FF2B5EF4-FFF2-40B4-BE49-F238E27FC236}">
              <a16:creationId xmlns:a16="http://schemas.microsoft.com/office/drawing/2014/main" id="{00000000-0008-0000-0A00-00000D000000}"/>
            </a:ext>
          </a:extLst>
        </xdr:cNvPr>
        <xdr:cNvCxnSpPr/>
      </xdr:nvCxnSpPr>
      <xdr:spPr>
        <a:xfrm flipH="1">
          <a:off x="14622780" y="3817620"/>
          <a:ext cx="236220" cy="385154"/>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45720</xdr:colOff>
      <xdr:row>21</xdr:row>
      <xdr:rowOff>11430</xdr:rowOff>
    </xdr:from>
    <xdr:to>
      <xdr:col>17</xdr:col>
      <xdr:colOff>312699</xdr:colOff>
      <xdr:row>21</xdr:row>
      <xdr:rowOff>15240</xdr:rowOff>
    </xdr:to>
    <xdr:cxnSp macro="">
      <xdr:nvCxnSpPr>
        <xdr:cNvPr id="14" name="13 Conector recto de flecha">
          <a:extLst>
            <a:ext uri="{FF2B5EF4-FFF2-40B4-BE49-F238E27FC236}">
              <a16:creationId xmlns:a16="http://schemas.microsoft.com/office/drawing/2014/main" id="{00000000-0008-0000-0A00-00000E000000}"/>
            </a:ext>
          </a:extLst>
        </xdr:cNvPr>
        <xdr:cNvCxnSpPr/>
      </xdr:nvCxnSpPr>
      <xdr:spPr>
        <a:xfrm flipH="1">
          <a:off x="14592300" y="4408170"/>
          <a:ext cx="255201" cy="381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38100</xdr:colOff>
      <xdr:row>22</xdr:row>
      <xdr:rowOff>68580</xdr:rowOff>
    </xdr:from>
    <xdr:to>
      <xdr:col>17</xdr:col>
      <xdr:colOff>306921</xdr:colOff>
      <xdr:row>24</xdr:row>
      <xdr:rowOff>24836</xdr:rowOff>
    </xdr:to>
    <xdr:cxnSp macro="">
      <xdr:nvCxnSpPr>
        <xdr:cNvPr id="15" name="14 Conector recto de flecha">
          <a:extLst>
            <a:ext uri="{FF2B5EF4-FFF2-40B4-BE49-F238E27FC236}">
              <a16:creationId xmlns:a16="http://schemas.microsoft.com/office/drawing/2014/main" id="{00000000-0008-0000-0A00-00000F000000}"/>
            </a:ext>
          </a:extLst>
        </xdr:cNvPr>
        <xdr:cNvCxnSpPr/>
      </xdr:nvCxnSpPr>
      <xdr:spPr>
        <a:xfrm flipH="1" flipV="1">
          <a:off x="14584680" y="4671060"/>
          <a:ext cx="257314" cy="527756"/>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114300</xdr:colOff>
      <xdr:row>15</xdr:row>
      <xdr:rowOff>7620</xdr:rowOff>
    </xdr:from>
    <xdr:to>
      <xdr:col>7</xdr:col>
      <xdr:colOff>352524</xdr:colOff>
      <xdr:row>15</xdr:row>
      <xdr:rowOff>7620</xdr:rowOff>
    </xdr:to>
    <xdr:cxnSp macro="">
      <xdr:nvCxnSpPr>
        <xdr:cNvPr id="16" name="15 Conector recto de flecha">
          <a:extLst>
            <a:ext uri="{FF2B5EF4-FFF2-40B4-BE49-F238E27FC236}">
              <a16:creationId xmlns:a16="http://schemas.microsoft.com/office/drawing/2014/main" id="{00000000-0008-0000-0A00-000010000000}"/>
            </a:ext>
          </a:extLst>
        </xdr:cNvPr>
        <xdr:cNvCxnSpPr/>
      </xdr:nvCxnSpPr>
      <xdr:spPr>
        <a:xfrm flipH="1">
          <a:off x="6941820" y="3200400"/>
          <a:ext cx="238224" cy="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148590</xdr:colOff>
      <xdr:row>8</xdr:row>
      <xdr:rowOff>203835</xdr:rowOff>
    </xdr:from>
    <xdr:to>
      <xdr:col>20</xdr:col>
      <xdr:colOff>63</xdr:colOff>
      <xdr:row>15</xdr:row>
      <xdr:rowOff>30489</xdr:rowOff>
    </xdr:to>
    <xdr:sp macro="" textlink="">
      <xdr:nvSpPr>
        <xdr:cNvPr id="17" name="16 Llamada ovalada">
          <a:extLst>
            <a:ext uri="{FF2B5EF4-FFF2-40B4-BE49-F238E27FC236}">
              <a16:creationId xmlns:a16="http://schemas.microsoft.com/office/drawing/2014/main" id="{00000000-0008-0000-0A00-000011000000}"/>
            </a:ext>
          </a:extLst>
        </xdr:cNvPr>
        <xdr:cNvSpPr/>
      </xdr:nvSpPr>
      <xdr:spPr>
        <a:xfrm>
          <a:off x="15060930" y="1842135"/>
          <a:ext cx="1802193" cy="1381134"/>
        </a:xfrm>
        <a:prstGeom prst="wedgeEllipseCallout">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es-CO"/>
        </a:p>
      </xdr:txBody>
    </xdr:sp>
    <xdr:clientData/>
  </xdr:twoCellAnchor>
  <xdr:twoCellAnchor>
    <xdr:from>
      <xdr:col>18</xdr:col>
      <xdr:colOff>430530</xdr:colOff>
      <xdr:row>9</xdr:row>
      <xdr:rowOff>15240</xdr:rowOff>
    </xdr:from>
    <xdr:to>
      <xdr:col>19</xdr:col>
      <xdr:colOff>691643</xdr:colOff>
      <xdr:row>14</xdr:row>
      <xdr:rowOff>106680</xdr:rowOff>
    </xdr:to>
    <xdr:sp macro="" textlink="">
      <xdr:nvSpPr>
        <xdr:cNvPr id="18" name="17 CuadroTexto">
          <a:extLst>
            <a:ext uri="{FF2B5EF4-FFF2-40B4-BE49-F238E27FC236}">
              <a16:creationId xmlns:a16="http://schemas.microsoft.com/office/drawing/2014/main" id="{00000000-0008-0000-0A00-000012000000}"/>
            </a:ext>
          </a:extLst>
        </xdr:cNvPr>
        <xdr:cNvSpPr txBox="1"/>
      </xdr:nvSpPr>
      <xdr:spPr>
        <a:xfrm>
          <a:off x="15331440" y="2019300"/>
          <a:ext cx="1293540" cy="108966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O" sz="1100"/>
            <a:t>Este</a:t>
          </a:r>
          <a:r>
            <a:rPr lang="es-CO" sz="1100" baseline="0"/>
            <a:t> grupo  mide las entradas y el nivel  necesario de capital de trabajo</a:t>
          </a:r>
          <a:endParaRPr lang="es-CO" sz="1100"/>
        </a:p>
      </xdr:txBody>
    </xdr:sp>
    <xdr:clientData/>
  </xdr:twoCellAnchor>
  <xdr:twoCellAnchor>
    <xdr:from>
      <xdr:col>17</xdr:col>
      <xdr:colOff>0</xdr:colOff>
      <xdr:row>26</xdr:row>
      <xdr:rowOff>0</xdr:rowOff>
    </xdr:from>
    <xdr:to>
      <xdr:col>19</xdr:col>
      <xdr:colOff>422961</xdr:colOff>
      <xdr:row>33</xdr:row>
      <xdr:rowOff>78118</xdr:rowOff>
    </xdr:to>
    <xdr:sp macro="" textlink="">
      <xdr:nvSpPr>
        <xdr:cNvPr id="19" name="18 Llamada ovalada">
          <a:extLst>
            <a:ext uri="{FF2B5EF4-FFF2-40B4-BE49-F238E27FC236}">
              <a16:creationId xmlns:a16="http://schemas.microsoft.com/office/drawing/2014/main" id="{00000000-0008-0000-0A00-000013000000}"/>
            </a:ext>
          </a:extLst>
        </xdr:cNvPr>
        <xdr:cNvSpPr/>
      </xdr:nvSpPr>
      <xdr:spPr>
        <a:xfrm>
          <a:off x="14546580" y="5570220"/>
          <a:ext cx="1813600" cy="1388758"/>
        </a:xfrm>
        <a:prstGeom prst="wedgeEllipseCallout">
          <a:avLst>
            <a:gd name="adj1" fmla="val -69712"/>
            <a:gd name="adj2" fmla="val -98826"/>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es-CO"/>
        </a:p>
      </xdr:txBody>
    </xdr:sp>
    <xdr:clientData/>
  </xdr:twoCellAnchor>
  <xdr:twoCellAnchor>
    <xdr:from>
      <xdr:col>17</xdr:col>
      <xdr:colOff>230505</xdr:colOff>
      <xdr:row>27</xdr:row>
      <xdr:rowOff>15240</xdr:rowOff>
    </xdr:from>
    <xdr:to>
      <xdr:col>19</xdr:col>
      <xdr:colOff>308681</xdr:colOff>
      <xdr:row>33</xdr:row>
      <xdr:rowOff>30480</xdr:rowOff>
    </xdr:to>
    <xdr:sp macro="" textlink="">
      <xdr:nvSpPr>
        <xdr:cNvPr id="20" name="19 CuadroTexto">
          <a:extLst>
            <a:ext uri="{FF2B5EF4-FFF2-40B4-BE49-F238E27FC236}">
              <a16:creationId xmlns:a16="http://schemas.microsoft.com/office/drawing/2014/main" id="{00000000-0008-0000-0A00-000014000000}"/>
            </a:ext>
          </a:extLst>
        </xdr:cNvPr>
        <xdr:cNvSpPr txBox="1"/>
      </xdr:nvSpPr>
      <xdr:spPr>
        <a:xfrm>
          <a:off x="14777085" y="5783580"/>
          <a:ext cx="1468827" cy="11277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O" sz="1100"/>
            <a:t>Este</a:t>
          </a:r>
          <a:r>
            <a:rPr lang="es-CO" sz="1100" baseline="0"/>
            <a:t> indicador mide el nivel de disponble necesario para desarrollar las operaciones</a:t>
          </a:r>
          <a:endParaRPr lang="es-CO" sz="1100"/>
        </a:p>
      </xdr:txBody>
    </xdr:sp>
    <xdr:clientData/>
  </xdr:twoCellAnchor>
  <xdr:twoCellAnchor>
    <xdr:from>
      <xdr:col>15</xdr:col>
      <xdr:colOff>455295</xdr:colOff>
      <xdr:row>2</xdr:row>
      <xdr:rowOff>38100</xdr:rowOff>
    </xdr:from>
    <xdr:to>
      <xdr:col>18</xdr:col>
      <xdr:colOff>270509</xdr:colOff>
      <xdr:row>8</xdr:row>
      <xdr:rowOff>266714</xdr:rowOff>
    </xdr:to>
    <xdr:sp macro="" textlink="">
      <xdr:nvSpPr>
        <xdr:cNvPr id="21" name="20 Llamada ovalada">
          <a:extLst>
            <a:ext uri="{FF2B5EF4-FFF2-40B4-BE49-F238E27FC236}">
              <a16:creationId xmlns:a16="http://schemas.microsoft.com/office/drawing/2014/main" id="{00000000-0008-0000-0A00-000015000000}"/>
            </a:ext>
          </a:extLst>
        </xdr:cNvPr>
        <xdr:cNvSpPr/>
      </xdr:nvSpPr>
      <xdr:spPr>
        <a:xfrm>
          <a:off x="13481685" y="518160"/>
          <a:ext cx="1689734" cy="1386854"/>
        </a:xfrm>
        <a:prstGeom prst="wedgeEllipseCallout">
          <a:avLst>
            <a:gd name="adj1" fmla="val -72851"/>
            <a:gd name="adj2" fmla="val 18301"/>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es-CO"/>
        </a:p>
      </xdr:txBody>
    </xdr:sp>
    <xdr:clientData/>
  </xdr:twoCellAnchor>
  <xdr:twoCellAnchor>
    <xdr:from>
      <xdr:col>16</xdr:col>
      <xdr:colOff>300990</xdr:colOff>
      <xdr:row>3</xdr:row>
      <xdr:rowOff>68580</xdr:rowOff>
    </xdr:from>
    <xdr:to>
      <xdr:col>18</xdr:col>
      <xdr:colOff>110367</xdr:colOff>
      <xdr:row>8</xdr:row>
      <xdr:rowOff>165783</xdr:rowOff>
    </xdr:to>
    <xdr:sp macro="" textlink="">
      <xdr:nvSpPr>
        <xdr:cNvPr id="22" name="21 CuadroTexto">
          <a:extLst>
            <a:ext uri="{FF2B5EF4-FFF2-40B4-BE49-F238E27FC236}">
              <a16:creationId xmlns:a16="http://schemas.microsoft.com/office/drawing/2014/main" id="{00000000-0008-0000-0A00-000016000000}"/>
            </a:ext>
          </a:extLst>
        </xdr:cNvPr>
        <xdr:cNvSpPr txBox="1"/>
      </xdr:nvSpPr>
      <xdr:spPr>
        <a:xfrm>
          <a:off x="13776960" y="739140"/>
          <a:ext cx="1245859" cy="10649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lang="es-CO" sz="1100"/>
            <a:t>Este grupo mide</a:t>
          </a:r>
          <a:r>
            <a:rPr lang="es-CO" sz="1100" baseline="0"/>
            <a:t> el riesgo crediticio y su impacto en la situacion financiera </a:t>
          </a:r>
          <a:endParaRPr lang="es-CO" sz="1100"/>
        </a:p>
      </xdr:txBody>
    </xdr:sp>
    <xdr:clientData/>
  </xdr:twoCellAnchor>
  <xdr:twoCellAnchor>
    <xdr:from>
      <xdr:col>14</xdr:col>
      <xdr:colOff>232410</xdr:colOff>
      <xdr:row>27</xdr:row>
      <xdr:rowOff>114300</xdr:rowOff>
    </xdr:from>
    <xdr:to>
      <xdr:col>16</xdr:col>
      <xdr:colOff>931553</xdr:colOff>
      <xdr:row>35</xdr:row>
      <xdr:rowOff>56</xdr:rowOff>
    </xdr:to>
    <xdr:sp macro="" textlink="">
      <xdr:nvSpPr>
        <xdr:cNvPr id="23" name="22 Llamada ovalada">
          <a:extLst>
            <a:ext uri="{FF2B5EF4-FFF2-40B4-BE49-F238E27FC236}">
              <a16:creationId xmlns:a16="http://schemas.microsoft.com/office/drawing/2014/main" id="{00000000-0008-0000-0A00-000017000000}"/>
            </a:ext>
          </a:extLst>
        </xdr:cNvPr>
        <xdr:cNvSpPr/>
      </xdr:nvSpPr>
      <xdr:spPr>
        <a:xfrm>
          <a:off x="12214860" y="5882640"/>
          <a:ext cx="2169813" cy="1364036"/>
        </a:xfrm>
        <a:prstGeom prst="wedgeEllipseCallout">
          <a:avLst>
            <a:gd name="adj1" fmla="val -23812"/>
            <a:gd name="adj2" fmla="val -83357"/>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es-CO"/>
        </a:p>
      </xdr:txBody>
    </xdr:sp>
    <xdr:clientData/>
  </xdr:twoCellAnchor>
  <xdr:twoCellAnchor>
    <xdr:from>
      <xdr:col>14</xdr:col>
      <xdr:colOff>392430</xdr:colOff>
      <xdr:row>28</xdr:row>
      <xdr:rowOff>121920</xdr:rowOff>
    </xdr:from>
    <xdr:to>
      <xdr:col>16</xdr:col>
      <xdr:colOff>701066</xdr:colOff>
      <xdr:row>34</xdr:row>
      <xdr:rowOff>83820</xdr:rowOff>
    </xdr:to>
    <xdr:sp macro="" textlink="">
      <xdr:nvSpPr>
        <xdr:cNvPr id="24" name="23 CuadroTexto">
          <a:extLst>
            <a:ext uri="{FF2B5EF4-FFF2-40B4-BE49-F238E27FC236}">
              <a16:creationId xmlns:a16="http://schemas.microsoft.com/office/drawing/2014/main" id="{00000000-0008-0000-0A00-000018000000}"/>
            </a:ext>
          </a:extLst>
        </xdr:cNvPr>
        <xdr:cNvSpPr txBox="1"/>
      </xdr:nvSpPr>
      <xdr:spPr>
        <a:xfrm>
          <a:off x="12374880" y="6088380"/>
          <a:ext cx="1790771" cy="1059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O" sz="1100"/>
            <a:t>Este grupo mide el impacto del uso de</a:t>
          </a:r>
          <a:r>
            <a:rPr lang="es-CO" sz="1100" baseline="0"/>
            <a:t> las fuentes de financiacion en la estructura financiera</a:t>
          </a:r>
          <a:endParaRPr lang="es-CO" sz="1100"/>
        </a:p>
      </xdr:txBody>
    </xdr:sp>
    <xdr:clientData/>
  </xdr:twoCellAnchor>
  <xdr:twoCellAnchor>
    <xdr:from>
      <xdr:col>11</xdr:col>
      <xdr:colOff>121920</xdr:colOff>
      <xdr:row>27</xdr:row>
      <xdr:rowOff>0</xdr:rowOff>
    </xdr:from>
    <xdr:to>
      <xdr:col>13</xdr:col>
      <xdr:colOff>361890</xdr:colOff>
      <xdr:row>34</xdr:row>
      <xdr:rowOff>83820</xdr:rowOff>
    </xdr:to>
    <xdr:sp macro="" textlink="">
      <xdr:nvSpPr>
        <xdr:cNvPr id="25" name="24 Llamada ovalada">
          <a:extLst>
            <a:ext uri="{FF2B5EF4-FFF2-40B4-BE49-F238E27FC236}">
              <a16:creationId xmlns:a16="http://schemas.microsoft.com/office/drawing/2014/main" id="{00000000-0008-0000-0A00-000019000000}"/>
            </a:ext>
          </a:extLst>
        </xdr:cNvPr>
        <xdr:cNvSpPr/>
      </xdr:nvSpPr>
      <xdr:spPr>
        <a:xfrm>
          <a:off x="9837420" y="5768340"/>
          <a:ext cx="1996352" cy="1379220"/>
        </a:xfrm>
        <a:prstGeom prst="wedgeEllipseCallout">
          <a:avLst>
            <a:gd name="adj1" fmla="val 603"/>
            <a:gd name="adj2" fmla="val -72860"/>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es-CO"/>
        </a:p>
      </xdr:txBody>
    </xdr:sp>
    <xdr:clientData/>
  </xdr:twoCellAnchor>
  <xdr:twoCellAnchor>
    <xdr:from>
      <xdr:col>11</xdr:col>
      <xdr:colOff>430530</xdr:colOff>
      <xdr:row>28</xdr:row>
      <xdr:rowOff>7620</xdr:rowOff>
    </xdr:from>
    <xdr:to>
      <xdr:col>13</xdr:col>
      <xdr:colOff>243906</xdr:colOff>
      <xdr:row>33</xdr:row>
      <xdr:rowOff>120097</xdr:rowOff>
    </xdr:to>
    <xdr:sp macro="" textlink="">
      <xdr:nvSpPr>
        <xdr:cNvPr id="26" name="25 CuadroTexto">
          <a:extLst>
            <a:ext uri="{FF2B5EF4-FFF2-40B4-BE49-F238E27FC236}">
              <a16:creationId xmlns:a16="http://schemas.microsoft.com/office/drawing/2014/main" id="{00000000-0008-0000-0A00-00001A000000}"/>
            </a:ext>
          </a:extLst>
        </xdr:cNvPr>
        <xdr:cNvSpPr txBox="1"/>
      </xdr:nvSpPr>
      <xdr:spPr>
        <a:xfrm>
          <a:off x="10134600" y="5974080"/>
          <a:ext cx="1584964" cy="10250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O" sz="1100"/>
            <a:t>Este</a:t>
          </a:r>
          <a:r>
            <a:rPr lang="es-CO" sz="1100" baseline="0"/>
            <a:t> grupo mide la generacion y disminucion de las inversiones en cartera.</a:t>
          </a:r>
          <a:endParaRPr lang="es-CO" sz="1100"/>
        </a:p>
      </xdr:txBody>
    </xdr:sp>
    <xdr:clientData/>
  </xdr:twoCellAnchor>
  <xdr:twoCellAnchor>
    <xdr:from>
      <xdr:col>6</xdr:col>
      <xdr:colOff>1038225</xdr:colOff>
      <xdr:row>24</xdr:row>
      <xdr:rowOff>192405</xdr:rowOff>
    </xdr:from>
    <xdr:to>
      <xdr:col>9</xdr:col>
      <xdr:colOff>230493</xdr:colOff>
      <xdr:row>32</xdr:row>
      <xdr:rowOff>45710</xdr:rowOff>
    </xdr:to>
    <xdr:sp macro="" textlink="">
      <xdr:nvSpPr>
        <xdr:cNvPr id="27" name="26 Llamada ovalada">
          <a:extLst>
            <a:ext uri="{FF2B5EF4-FFF2-40B4-BE49-F238E27FC236}">
              <a16:creationId xmlns:a16="http://schemas.microsoft.com/office/drawing/2014/main" id="{00000000-0008-0000-0A00-00001B000000}"/>
            </a:ext>
          </a:extLst>
        </xdr:cNvPr>
        <xdr:cNvSpPr/>
      </xdr:nvSpPr>
      <xdr:spPr>
        <a:xfrm>
          <a:off x="6753225" y="5366385"/>
          <a:ext cx="1786986" cy="1377305"/>
        </a:xfrm>
        <a:prstGeom prst="wedgeEllipseCallout">
          <a:avLst>
            <a:gd name="adj1" fmla="val 51946"/>
            <a:gd name="adj2" fmla="val -45882"/>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es-CO"/>
        </a:p>
      </xdr:txBody>
    </xdr:sp>
    <xdr:clientData/>
  </xdr:twoCellAnchor>
  <xdr:twoCellAnchor>
    <xdr:from>
      <xdr:col>7</xdr:col>
      <xdr:colOff>116205</xdr:colOff>
      <xdr:row>25</xdr:row>
      <xdr:rowOff>169545</xdr:rowOff>
    </xdr:from>
    <xdr:to>
      <xdr:col>9</xdr:col>
      <xdr:colOff>32372</xdr:colOff>
      <xdr:row>31</xdr:row>
      <xdr:rowOff>37959</xdr:rowOff>
    </xdr:to>
    <xdr:sp macro="" textlink="">
      <xdr:nvSpPr>
        <xdr:cNvPr id="28" name="27 CuadroTexto">
          <a:extLst>
            <a:ext uri="{FF2B5EF4-FFF2-40B4-BE49-F238E27FC236}">
              <a16:creationId xmlns:a16="http://schemas.microsoft.com/office/drawing/2014/main" id="{00000000-0008-0000-0A00-00001C000000}"/>
            </a:ext>
          </a:extLst>
        </xdr:cNvPr>
        <xdr:cNvSpPr txBox="1"/>
      </xdr:nvSpPr>
      <xdr:spPr>
        <a:xfrm>
          <a:off x="6943725" y="5545455"/>
          <a:ext cx="1409687" cy="10153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O" sz="1100"/>
            <a:t>Este</a:t>
          </a:r>
          <a:r>
            <a:rPr lang="es-CO" sz="1100" baseline="0"/>
            <a:t> indicador mide el nivel de inversion requerida para generar los  ingresos</a:t>
          </a:r>
          <a:endParaRPr lang="es-CO" sz="1100"/>
        </a:p>
      </xdr:txBody>
    </xdr:sp>
    <xdr:clientData/>
  </xdr:twoCellAnchor>
  <xdr:twoCellAnchor>
    <xdr:from>
      <xdr:col>7</xdr:col>
      <xdr:colOff>314325</xdr:colOff>
      <xdr:row>2</xdr:row>
      <xdr:rowOff>0</xdr:rowOff>
    </xdr:from>
    <xdr:to>
      <xdr:col>10</xdr:col>
      <xdr:colOff>114379</xdr:colOff>
      <xdr:row>8</xdr:row>
      <xdr:rowOff>228614</xdr:rowOff>
    </xdr:to>
    <xdr:sp macro="" textlink="">
      <xdr:nvSpPr>
        <xdr:cNvPr id="29" name="28 Llamada ovalada">
          <a:extLst>
            <a:ext uri="{FF2B5EF4-FFF2-40B4-BE49-F238E27FC236}">
              <a16:creationId xmlns:a16="http://schemas.microsoft.com/office/drawing/2014/main" id="{00000000-0008-0000-0A00-00001D000000}"/>
            </a:ext>
          </a:extLst>
        </xdr:cNvPr>
        <xdr:cNvSpPr/>
      </xdr:nvSpPr>
      <xdr:spPr>
        <a:xfrm>
          <a:off x="7141845" y="480060"/>
          <a:ext cx="1682194" cy="1386854"/>
        </a:xfrm>
        <a:prstGeom prst="wedgeEllipseCallout">
          <a:avLst>
            <a:gd name="adj1" fmla="val 31633"/>
            <a:gd name="adj2" fmla="val 61395"/>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es-CO"/>
        </a:p>
      </xdr:txBody>
    </xdr:sp>
    <xdr:clientData/>
  </xdr:twoCellAnchor>
  <xdr:twoCellAnchor>
    <xdr:from>
      <xdr:col>8</xdr:col>
      <xdr:colOff>121920</xdr:colOff>
      <xdr:row>3</xdr:row>
      <xdr:rowOff>45720</xdr:rowOff>
    </xdr:from>
    <xdr:to>
      <xdr:col>10</xdr:col>
      <xdr:colOff>38142</xdr:colOff>
      <xdr:row>7</xdr:row>
      <xdr:rowOff>160086</xdr:rowOff>
    </xdr:to>
    <xdr:sp macro="" textlink="">
      <xdr:nvSpPr>
        <xdr:cNvPr id="30" name="29 CuadroTexto">
          <a:extLst>
            <a:ext uri="{FF2B5EF4-FFF2-40B4-BE49-F238E27FC236}">
              <a16:creationId xmlns:a16="http://schemas.microsoft.com/office/drawing/2014/main" id="{00000000-0008-0000-0A00-00001E000000}"/>
            </a:ext>
          </a:extLst>
        </xdr:cNvPr>
        <xdr:cNvSpPr txBox="1"/>
      </xdr:nvSpPr>
      <xdr:spPr>
        <a:xfrm>
          <a:off x="7353300" y="716280"/>
          <a:ext cx="1394502" cy="8916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O" sz="1100"/>
            <a:t>Este mide el</a:t>
          </a:r>
          <a:r>
            <a:rPr lang="es-CO" sz="1100" baseline="0"/>
            <a:t> control y gestion de los gastos admon, y los costos operacionales</a:t>
          </a:r>
          <a:endParaRPr lang="es-CO" sz="1100"/>
        </a:p>
      </xdr:txBody>
    </xdr:sp>
    <xdr:clientData/>
  </xdr:twoCellAnchor>
  <xdr:twoCellAnchor>
    <xdr:from>
      <xdr:col>6</xdr:col>
      <xdr:colOff>160020</xdr:colOff>
      <xdr:row>17</xdr:row>
      <xdr:rowOff>144780</xdr:rowOff>
    </xdr:from>
    <xdr:to>
      <xdr:col>8</xdr:col>
      <xdr:colOff>363947</xdr:colOff>
      <xdr:row>24</xdr:row>
      <xdr:rowOff>146704</xdr:rowOff>
    </xdr:to>
    <xdr:sp macro="" textlink="">
      <xdr:nvSpPr>
        <xdr:cNvPr id="31" name="30 Llamada ovalada">
          <a:extLst>
            <a:ext uri="{FF2B5EF4-FFF2-40B4-BE49-F238E27FC236}">
              <a16:creationId xmlns:a16="http://schemas.microsoft.com/office/drawing/2014/main" id="{00000000-0008-0000-0A00-00001F000000}"/>
            </a:ext>
          </a:extLst>
        </xdr:cNvPr>
        <xdr:cNvSpPr/>
      </xdr:nvSpPr>
      <xdr:spPr>
        <a:xfrm>
          <a:off x="5890260" y="3741420"/>
          <a:ext cx="1703163" cy="1567857"/>
        </a:xfrm>
        <a:prstGeom prst="wedgeEllipseCallout">
          <a:avLst>
            <a:gd name="adj1" fmla="val 37014"/>
            <a:gd name="adj2" fmla="val -70097"/>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es-CO"/>
        </a:p>
      </xdr:txBody>
    </xdr:sp>
    <xdr:clientData/>
  </xdr:twoCellAnchor>
  <xdr:twoCellAnchor>
    <xdr:from>
      <xdr:col>5</xdr:col>
      <xdr:colOff>76200</xdr:colOff>
      <xdr:row>6</xdr:row>
      <xdr:rowOff>38100</xdr:rowOff>
    </xdr:from>
    <xdr:to>
      <xdr:col>6</xdr:col>
      <xdr:colOff>984796</xdr:colOff>
      <xdr:row>12</xdr:row>
      <xdr:rowOff>45772</xdr:rowOff>
    </xdr:to>
    <xdr:sp macro="" textlink="">
      <xdr:nvSpPr>
        <xdr:cNvPr id="32" name="31 Llamada ovalada">
          <a:extLst>
            <a:ext uri="{FF2B5EF4-FFF2-40B4-BE49-F238E27FC236}">
              <a16:creationId xmlns:a16="http://schemas.microsoft.com/office/drawing/2014/main" id="{00000000-0008-0000-0A00-000020000000}"/>
            </a:ext>
          </a:extLst>
        </xdr:cNvPr>
        <xdr:cNvSpPr/>
      </xdr:nvSpPr>
      <xdr:spPr>
        <a:xfrm>
          <a:off x="4648200" y="1295400"/>
          <a:ext cx="2051587" cy="1356412"/>
        </a:xfrm>
        <a:prstGeom prst="wedgeEllipseCallout">
          <a:avLst>
            <a:gd name="adj1" fmla="val 39262"/>
            <a:gd name="adj2" fmla="val 56975"/>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es-CO"/>
        </a:p>
      </xdr:txBody>
    </xdr:sp>
    <xdr:clientData/>
  </xdr:twoCellAnchor>
  <xdr:twoCellAnchor>
    <xdr:from>
      <xdr:col>6</xdr:col>
      <xdr:colOff>430530</xdr:colOff>
      <xdr:row>19</xdr:row>
      <xdr:rowOff>0</xdr:rowOff>
    </xdr:from>
    <xdr:to>
      <xdr:col>8</xdr:col>
      <xdr:colOff>154268</xdr:colOff>
      <xdr:row>23</xdr:row>
      <xdr:rowOff>123945</xdr:rowOff>
    </xdr:to>
    <xdr:sp macro="" textlink="">
      <xdr:nvSpPr>
        <xdr:cNvPr id="33" name="32 CuadroTexto">
          <a:extLst>
            <a:ext uri="{FF2B5EF4-FFF2-40B4-BE49-F238E27FC236}">
              <a16:creationId xmlns:a16="http://schemas.microsoft.com/office/drawing/2014/main" id="{00000000-0008-0000-0A00-000021000000}"/>
            </a:ext>
          </a:extLst>
        </xdr:cNvPr>
        <xdr:cNvSpPr txBox="1"/>
      </xdr:nvSpPr>
      <xdr:spPr>
        <a:xfrm>
          <a:off x="6149340" y="3985260"/>
          <a:ext cx="1236349" cy="1106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lang="es-CO" sz="1100"/>
            <a:t>Este</a:t>
          </a:r>
          <a:r>
            <a:rPr lang="es-CO" sz="1100" baseline="0"/>
            <a:t> indicador mide la rentabilidad generada por la cartera vigente</a:t>
          </a:r>
          <a:endParaRPr lang="es-CO" sz="1100"/>
        </a:p>
      </xdr:txBody>
    </xdr:sp>
    <xdr:clientData/>
  </xdr:twoCellAnchor>
  <xdr:twoCellAnchor>
    <xdr:from>
      <xdr:col>5</xdr:col>
      <xdr:colOff>314325</xdr:colOff>
      <xdr:row>7</xdr:row>
      <xdr:rowOff>76200</xdr:rowOff>
    </xdr:from>
    <xdr:to>
      <xdr:col>6</xdr:col>
      <xdr:colOff>728038</xdr:colOff>
      <xdr:row>10</xdr:row>
      <xdr:rowOff>165823</xdr:rowOff>
    </xdr:to>
    <xdr:sp macro="" textlink="">
      <xdr:nvSpPr>
        <xdr:cNvPr id="34" name="33 CuadroTexto">
          <a:extLst>
            <a:ext uri="{FF2B5EF4-FFF2-40B4-BE49-F238E27FC236}">
              <a16:creationId xmlns:a16="http://schemas.microsoft.com/office/drawing/2014/main" id="{00000000-0008-0000-0A00-000022000000}"/>
            </a:ext>
          </a:extLst>
        </xdr:cNvPr>
        <xdr:cNvSpPr txBox="1"/>
      </xdr:nvSpPr>
      <xdr:spPr>
        <a:xfrm>
          <a:off x="4886325" y="1524000"/>
          <a:ext cx="1566133" cy="8440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O" sz="1100"/>
            <a:t>Este indicador</a:t>
          </a:r>
          <a:r>
            <a:rPr lang="es-CO" sz="1100" baseline="0"/>
            <a:t> mide la eficiencia de la gestion administrativa en las operaciones del negocio</a:t>
          </a:r>
          <a:endParaRPr lang="es-CO" sz="1100"/>
        </a:p>
      </xdr:txBody>
    </xdr:sp>
    <xdr:clientData/>
  </xdr:twoCellAnchor>
  <xdr:twoCellAnchor>
    <xdr:from>
      <xdr:col>11</xdr:col>
      <xdr:colOff>99060</xdr:colOff>
      <xdr:row>22</xdr:row>
      <xdr:rowOff>342900</xdr:rowOff>
    </xdr:from>
    <xdr:to>
      <xdr:col>11</xdr:col>
      <xdr:colOff>368440</xdr:colOff>
      <xdr:row>24</xdr:row>
      <xdr:rowOff>103346</xdr:rowOff>
    </xdr:to>
    <xdr:cxnSp macro="">
      <xdr:nvCxnSpPr>
        <xdr:cNvPr id="35" name="34 Conector recto de flecha">
          <a:extLst>
            <a:ext uri="{FF2B5EF4-FFF2-40B4-BE49-F238E27FC236}">
              <a16:creationId xmlns:a16="http://schemas.microsoft.com/office/drawing/2014/main" id="{00000000-0008-0000-0A00-000023000000}"/>
            </a:ext>
          </a:extLst>
        </xdr:cNvPr>
        <xdr:cNvCxnSpPr/>
      </xdr:nvCxnSpPr>
      <xdr:spPr>
        <a:xfrm flipH="1">
          <a:off x="9814560" y="4945380"/>
          <a:ext cx="259759" cy="331946"/>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480060</xdr:colOff>
      <xdr:row>22</xdr:row>
      <xdr:rowOff>62865</xdr:rowOff>
    </xdr:from>
    <xdr:to>
      <xdr:col>10</xdr:col>
      <xdr:colOff>482078</xdr:colOff>
      <xdr:row>22</xdr:row>
      <xdr:rowOff>321945</xdr:rowOff>
    </xdr:to>
    <xdr:cxnSp macro="">
      <xdr:nvCxnSpPr>
        <xdr:cNvPr id="36" name="35 Conector recto de flecha">
          <a:extLst>
            <a:ext uri="{FF2B5EF4-FFF2-40B4-BE49-F238E27FC236}">
              <a16:creationId xmlns:a16="http://schemas.microsoft.com/office/drawing/2014/main" id="{00000000-0008-0000-0A00-000024000000}"/>
            </a:ext>
          </a:extLst>
        </xdr:cNvPr>
        <xdr:cNvCxnSpPr/>
      </xdr:nvCxnSpPr>
      <xdr:spPr>
        <a:xfrm flipH="1" flipV="1">
          <a:off x="9195435" y="4665345"/>
          <a:ext cx="2018" cy="25908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2771775</xdr:colOff>
      <xdr:row>5</xdr:row>
      <xdr:rowOff>57150</xdr:rowOff>
    </xdr:to>
    <xdr:pic>
      <xdr:nvPicPr>
        <xdr:cNvPr id="1349911" name="1 Imagen">
          <a:extLst>
            <a:ext uri="{FF2B5EF4-FFF2-40B4-BE49-F238E27FC236}">
              <a16:creationId xmlns:a16="http://schemas.microsoft.com/office/drawing/2014/main" id="{00000000-0008-0000-1500-0000179914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2752725" cy="10191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1266825</xdr:colOff>
      <xdr:row>0</xdr:row>
      <xdr:rowOff>0</xdr:rowOff>
    </xdr:from>
    <xdr:to>
      <xdr:col>15</xdr:col>
      <xdr:colOff>647700</xdr:colOff>
      <xdr:row>14</xdr:row>
      <xdr:rowOff>76200</xdr:rowOff>
    </xdr:to>
    <xdr:graphicFrame macro="">
      <xdr:nvGraphicFramePr>
        <xdr:cNvPr id="1351491" name="2 Gráfico">
          <a:extLst>
            <a:ext uri="{FF2B5EF4-FFF2-40B4-BE49-F238E27FC236}">
              <a16:creationId xmlns:a16="http://schemas.microsoft.com/office/drawing/2014/main" id="{00000000-0008-0000-1600-0000439F1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438150</xdr:colOff>
      <xdr:row>9</xdr:row>
      <xdr:rowOff>47625</xdr:rowOff>
    </xdr:from>
    <xdr:to>
      <xdr:col>9</xdr:col>
      <xdr:colOff>219075</xdr:colOff>
      <xdr:row>23</xdr:row>
      <xdr:rowOff>123825</xdr:rowOff>
    </xdr:to>
    <xdr:graphicFrame macro="">
      <xdr:nvGraphicFramePr>
        <xdr:cNvPr id="1351492" name="4 Gráfico">
          <a:extLst>
            <a:ext uri="{FF2B5EF4-FFF2-40B4-BE49-F238E27FC236}">
              <a16:creationId xmlns:a16="http://schemas.microsoft.com/office/drawing/2014/main" id="{00000000-0008-0000-1600-0000449F1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371475</xdr:colOff>
      <xdr:row>30</xdr:row>
      <xdr:rowOff>180975</xdr:rowOff>
    </xdr:from>
    <xdr:to>
      <xdr:col>9</xdr:col>
      <xdr:colOff>57150</xdr:colOff>
      <xdr:row>45</xdr:row>
      <xdr:rowOff>66675</xdr:rowOff>
    </xdr:to>
    <xdr:graphicFrame macro="">
      <xdr:nvGraphicFramePr>
        <xdr:cNvPr id="1351493" name="3 Gráfico">
          <a:extLst>
            <a:ext uri="{FF2B5EF4-FFF2-40B4-BE49-F238E27FC236}">
              <a16:creationId xmlns:a16="http://schemas.microsoft.com/office/drawing/2014/main" id="{00000000-0008-0000-1600-0000459F1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110490</xdr:colOff>
      <xdr:row>3</xdr:row>
      <xdr:rowOff>106680</xdr:rowOff>
    </xdr:from>
    <xdr:to>
      <xdr:col>13</xdr:col>
      <xdr:colOff>394468</xdr:colOff>
      <xdr:row>9</xdr:row>
      <xdr:rowOff>152400</xdr:rowOff>
    </xdr:to>
    <xdr:sp macro="" textlink="">
      <xdr:nvSpPr>
        <xdr:cNvPr id="2" name="1 Cerrar llave">
          <a:extLst>
            <a:ext uri="{FF2B5EF4-FFF2-40B4-BE49-F238E27FC236}">
              <a16:creationId xmlns:a16="http://schemas.microsoft.com/office/drawing/2014/main" id="{00000000-0008-0000-1900-000002000000}"/>
            </a:ext>
          </a:extLst>
        </xdr:cNvPr>
        <xdr:cNvSpPr/>
      </xdr:nvSpPr>
      <xdr:spPr>
        <a:xfrm>
          <a:off x="11835765" y="792480"/>
          <a:ext cx="283978" cy="1426845"/>
        </a:xfrm>
        <a:prstGeom prst="rightBrace">
          <a:avLst/>
        </a:prstGeom>
        <a:ln w="19050">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s-CO"/>
        </a:p>
      </xdr:txBody>
    </xdr:sp>
    <xdr:clientData/>
  </xdr:twoCellAnchor>
  <xdr:twoCellAnchor>
    <xdr:from>
      <xdr:col>10</xdr:col>
      <xdr:colOff>899160</xdr:colOff>
      <xdr:row>3</xdr:row>
      <xdr:rowOff>7620</xdr:rowOff>
    </xdr:from>
    <xdr:to>
      <xdr:col>11</xdr:col>
      <xdr:colOff>429827</xdr:colOff>
      <xdr:row>7</xdr:row>
      <xdr:rowOff>87773</xdr:rowOff>
    </xdr:to>
    <xdr:cxnSp macro="">
      <xdr:nvCxnSpPr>
        <xdr:cNvPr id="3" name="2 Conector recto de flecha">
          <a:extLst>
            <a:ext uri="{FF2B5EF4-FFF2-40B4-BE49-F238E27FC236}">
              <a16:creationId xmlns:a16="http://schemas.microsoft.com/office/drawing/2014/main" id="{00000000-0008-0000-1900-000003000000}"/>
            </a:ext>
          </a:extLst>
        </xdr:cNvPr>
        <xdr:cNvCxnSpPr/>
      </xdr:nvCxnSpPr>
      <xdr:spPr>
        <a:xfrm flipH="1">
          <a:off x="9795510" y="693420"/>
          <a:ext cx="559367" cy="908828"/>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76200</xdr:colOff>
      <xdr:row>10</xdr:row>
      <xdr:rowOff>0</xdr:rowOff>
    </xdr:from>
    <xdr:to>
      <xdr:col>11</xdr:col>
      <xdr:colOff>437834</xdr:colOff>
      <xdr:row>10</xdr:row>
      <xdr:rowOff>0</xdr:rowOff>
    </xdr:to>
    <xdr:cxnSp macro="">
      <xdr:nvCxnSpPr>
        <xdr:cNvPr id="4" name="3 Conector recto de flecha">
          <a:extLst>
            <a:ext uri="{FF2B5EF4-FFF2-40B4-BE49-F238E27FC236}">
              <a16:creationId xmlns:a16="http://schemas.microsoft.com/office/drawing/2014/main" id="{00000000-0008-0000-1900-000004000000}"/>
            </a:ext>
          </a:extLst>
        </xdr:cNvPr>
        <xdr:cNvCxnSpPr/>
      </xdr:nvCxnSpPr>
      <xdr:spPr>
        <a:xfrm flipH="1" flipV="1">
          <a:off x="10001250" y="2257425"/>
          <a:ext cx="361634" cy="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76200</xdr:colOff>
      <xdr:row>11</xdr:row>
      <xdr:rowOff>45720</xdr:rowOff>
    </xdr:from>
    <xdr:to>
      <xdr:col>11</xdr:col>
      <xdr:colOff>437973</xdr:colOff>
      <xdr:row>13</xdr:row>
      <xdr:rowOff>30480</xdr:rowOff>
    </xdr:to>
    <xdr:cxnSp macro="">
      <xdr:nvCxnSpPr>
        <xdr:cNvPr id="5" name="4 Conector recto de flecha">
          <a:extLst>
            <a:ext uri="{FF2B5EF4-FFF2-40B4-BE49-F238E27FC236}">
              <a16:creationId xmlns:a16="http://schemas.microsoft.com/office/drawing/2014/main" id="{00000000-0008-0000-1900-000005000000}"/>
            </a:ext>
          </a:extLst>
        </xdr:cNvPr>
        <xdr:cNvCxnSpPr/>
      </xdr:nvCxnSpPr>
      <xdr:spPr>
        <a:xfrm flipH="1" flipV="1">
          <a:off x="10001250" y="2493645"/>
          <a:ext cx="361773" cy="451485"/>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678180</xdr:colOff>
      <xdr:row>11</xdr:row>
      <xdr:rowOff>177165</xdr:rowOff>
    </xdr:from>
    <xdr:to>
      <xdr:col>11</xdr:col>
      <xdr:colOff>438343</xdr:colOff>
      <xdr:row>16</xdr:row>
      <xdr:rowOff>69</xdr:rowOff>
    </xdr:to>
    <xdr:cxnSp macro="">
      <xdr:nvCxnSpPr>
        <xdr:cNvPr id="6" name="5 Conector recto de flecha">
          <a:extLst>
            <a:ext uri="{FF2B5EF4-FFF2-40B4-BE49-F238E27FC236}">
              <a16:creationId xmlns:a16="http://schemas.microsoft.com/office/drawing/2014/main" id="{00000000-0008-0000-1900-000006000000}"/>
            </a:ext>
          </a:extLst>
        </xdr:cNvPr>
        <xdr:cNvCxnSpPr/>
      </xdr:nvCxnSpPr>
      <xdr:spPr>
        <a:xfrm flipH="1" flipV="1">
          <a:off x="9574530" y="2625090"/>
          <a:ext cx="788863" cy="889704"/>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929640</xdr:colOff>
      <xdr:row>9</xdr:row>
      <xdr:rowOff>167640</xdr:rowOff>
    </xdr:from>
    <xdr:to>
      <xdr:col>9</xdr:col>
      <xdr:colOff>308477</xdr:colOff>
      <xdr:row>12</xdr:row>
      <xdr:rowOff>160020</xdr:rowOff>
    </xdr:to>
    <xdr:cxnSp macro="">
      <xdr:nvCxnSpPr>
        <xdr:cNvPr id="7" name="6 Conector recto de flecha">
          <a:extLst>
            <a:ext uri="{FF2B5EF4-FFF2-40B4-BE49-F238E27FC236}">
              <a16:creationId xmlns:a16="http://schemas.microsoft.com/office/drawing/2014/main" id="{00000000-0008-0000-1900-000007000000}"/>
            </a:ext>
          </a:extLst>
        </xdr:cNvPr>
        <xdr:cNvCxnSpPr/>
      </xdr:nvCxnSpPr>
      <xdr:spPr>
        <a:xfrm flipH="1">
          <a:off x="8311515" y="2234565"/>
          <a:ext cx="493262" cy="58293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739140</xdr:colOff>
      <xdr:row>16</xdr:row>
      <xdr:rowOff>51435</xdr:rowOff>
    </xdr:from>
    <xdr:to>
      <xdr:col>9</xdr:col>
      <xdr:colOff>271041</xdr:colOff>
      <xdr:row>20</xdr:row>
      <xdr:rowOff>87643</xdr:rowOff>
    </xdr:to>
    <xdr:cxnSp macro="">
      <xdr:nvCxnSpPr>
        <xdr:cNvPr id="8" name="7 Conector recto de flecha">
          <a:extLst>
            <a:ext uri="{FF2B5EF4-FFF2-40B4-BE49-F238E27FC236}">
              <a16:creationId xmlns:a16="http://schemas.microsoft.com/office/drawing/2014/main" id="{00000000-0008-0000-1900-000008000000}"/>
            </a:ext>
          </a:extLst>
        </xdr:cNvPr>
        <xdr:cNvCxnSpPr/>
      </xdr:nvCxnSpPr>
      <xdr:spPr>
        <a:xfrm flipH="1" flipV="1">
          <a:off x="8121015" y="3566160"/>
          <a:ext cx="646326" cy="817258"/>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198120</xdr:colOff>
      <xdr:row>18</xdr:row>
      <xdr:rowOff>0</xdr:rowOff>
    </xdr:from>
    <xdr:to>
      <xdr:col>13</xdr:col>
      <xdr:colOff>438140</xdr:colOff>
      <xdr:row>19</xdr:row>
      <xdr:rowOff>190500</xdr:rowOff>
    </xdr:to>
    <xdr:cxnSp macro="">
      <xdr:nvCxnSpPr>
        <xdr:cNvPr id="9" name="8 Conector recto de flecha">
          <a:extLst>
            <a:ext uri="{FF2B5EF4-FFF2-40B4-BE49-F238E27FC236}">
              <a16:creationId xmlns:a16="http://schemas.microsoft.com/office/drawing/2014/main" id="{00000000-0008-0000-1900-000009000000}"/>
            </a:ext>
          </a:extLst>
        </xdr:cNvPr>
        <xdr:cNvCxnSpPr/>
      </xdr:nvCxnSpPr>
      <xdr:spPr>
        <a:xfrm flipH="1">
          <a:off x="11923395" y="3895725"/>
          <a:ext cx="240020" cy="38100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156210</xdr:colOff>
      <xdr:row>21</xdr:row>
      <xdr:rowOff>0</xdr:rowOff>
    </xdr:from>
    <xdr:to>
      <xdr:col>13</xdr:col>
      <xdr:colOff>436029</xdr:colOff>
      <xdr:row>21</xdr:row>
      <xdr:rowOff>0</xdr:rowOff>
    </xdr:to>
    <xdr:cxnSp macro="">
      <xdr:nvCxnSpPr>
        <xdr:cNvPr id="10" name="9 Conector recto de flecha">
          <a:extLst>
            <a:ext uri="{FF2B5EF4-FFF2-40B4-BE49-F238E27FC236}">
              <a16:creationId xmlns:a16="http://schemas.microsoft.com/office/drawing/2014/main" id="{00000000-0008-0000-1900-00000A000000}"/>
            </a:ext>
          </a:extLst>
        </xdr:cNvPr>
        <xdr:cNvCxnSpPr/>
      </xdr:nvCxnSpPr>
      <xdr:spPr>
        <a:xfrm flipH="1">
          <a:off x="11881485" y="4495800"/>
          <a:ext cx="279819" cy="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10584</xdr:colOff>
      <xdr:row>22</xdr:row>
      <xdr:rowOff>158750</xdr:rowOff>
    </xdr:from>
    <xdr:to>
      <xdr:col>13</xdr:col>
      <xdr:colOff>444501</xdr:colOff>
      <xdr:row>23</xdr:row>
      <xdr:rowOff>169334</xdr:rowOff>
    </xdr:to>
    <xdr:cxnSp macro="">
      <xdr:nvCxnSpPr>
        <xdr:cNvPr id="11" name="10 Conector recto de flecha">
          <a:extLst>
            <a:ext uri="{FF2B5EF4-FFF2-40B4-BE49-F238E27FC236}">
              <a16:creationId xmlns:a16="http://schemas.microsoft.com/office/drawing/2014/main" id="{00000000-0008-0000-1900-00000B000000}"/>
            </a:ext>
          </a:extLst>
        </xdr:cNvPr>
        <xdr:cNvCxnSpPr/>
      </xdr:nvCxnSpPr>
      <xdr:spPr>
        <a:xfrm flipH="1" flipV="1">
          <a:off x="11735859" y="4864100"/>
          <a:ext cx="433917" cy="372534"/>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110490</xdr:colOff>
      <xdr:row>20</xdr:row>
      <xdr:rowOff>198120</xdr:rowOff>
    </xdr:from>
    <xdr:to>
      <xdr:col>15</xdr:col>
      <xdr:colOff>309139</xdr:colOff>
      <xdr:row>21</xdr:row>
      <xdr:rowOff>0</xdr:rowOff>
    </xdr:to>
    <xdr:cxnSp macro="">
      <xdr:nvCxnSpPr>
        <xdr:cNvPr id="12" name="11 Conector recto de flecha">
          <a:extLst>
            <a:ext uri="{FF2B5EF4-FFF2-40B4-BE49-F238E27FC236}">
              <a16:creationId xmlns:a16="http://schemas.microsoft.com/office/drawing/2014/main" id="{00000000-0008-0000-1900-00000C000000}"/>
            </a:ext>
          </a:extLst>
        </xdr:cNvPr>
        <xdr:cNvCxnSpPr/>
      </xdr:nvCxnSpPr>
      <xdr:spPr>
        <a:xfrm flipH="1" flipV="1">
          <a:off x="13426440" y="4493895"/>
          <a:ext cx="198649" cy="1905"/>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76200</xdr:colOff>
      <xdr:row>18</xdr:row>
      <xdr:rowOff>30480</xdr:rowOff>
    </xdr:from>
    <xdr:to>
      <xdr:col>17</xdr:col>
      <xdr:colOff>312420</xdr:colOff>
      <xdr:row>20</xdr:row>
      <xdr:rowOff>11774</xdr:rowOff>
    </xdr:to>
    <xdr:cxnSp macro="">
      <xdr:nvCxnSpPr>
        <xdr:cNvPr id="13" name="12 Conector recto de flecha">
          <a:extLst>
            <a:ext uri="{FF2B5EF4-FFF2-40B4-BE49-F238E27FC236}">
              <a16:creationId xmlns:a16="http://schemas.microsoft.com/office/drawing/2014/main" id="{00000000-0008-0000-1900-00000D000000}"/>
            </a:ext>
          </a:extLst>
        </xdr:cNvPr>
        <xdr:cNvCxnSpPr/>
      </xdr:nvCxnSpPr>
      <xdr:spPr>
        <a:xfrm flipH="1">
          <a:off x="14944725" y="3926205"/>
          <a:ext cx="236220" cy="381344"/>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45720</xdr:colOff>
      <xdr:row>21</xdr:row>
      <xdr:rowOff>11430</xdr:rowOff>
    </xdr:from>
    <xdr:to>
      <xdr:col>17</xdr:col>
      <xdr:colOff>312699</xdr:colOff>
      <xdr:row>21</xdr:row>
      <xdr:rowOff>15240</xdr:rowOff>
    </xdr:to>
    <xdr:cxnSp macro="">
      <xdr:nvCxnSpPr>
        <xdr:cNvPr id="14" name="13 Conector recto de flecha">
          <a:extLst>
            <a:ext uri="{FF2B5EF4-FFF2-40B4-BE49-F238E27FC236}">
              <a16:creationId xmlns:a16="http://schemas.microsoft.com/office/drawing/2014/main" id="{00000000-0008-0000-1900-00000E000000}"/>
            </a:ext>
          </a:extLst>
        </xdr:cNvPr>
        <xdr:cNvCxnSpPr/>
      </xdr:nvCxnSpPr>
      <xdr:spPr>
        <a:xfrm flipH="1">
          <a:off x="14914245" y="4507230"/>
          <a:ext cx="266979" cy="381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38100</xdr:colOff>
      <xdr:row>22</xdr:row>
      <xdr:rowOff>68580</xdr:rowOff>
    </xdr:from>
    <xdr:to>
      <xdr:col>17</xdr:col>
      <xdr:colOff>306921</xdr:colOff>
      <xdr:row>24</xdr:row>
      <xdr:rowOff>24836</xdr:rowOff>
    </xdr:to>
    <xdr:cxnSp macro="">
      <xdr:nvCxnSpPr>
        <xdr:cNvPr id="15" name="14 Conector recto de flecha">
          <a:extLst>
            <a:ext uri="{FF2B5EF4-FFF2-40B4-BE49-F238E27FC236}">
              <a16:creationId xmlns:a16="http://schemas.microsoft.com/office/drawing/2014/main" id="{00000000-0008-0000-1900-00000F000000}"/>
            </a:ext>
          </a:extLst>
        </xdr:cNvPr>
        <xdr:cNvCxnSpPr/>
      </xdr:nvCxnSpPr>
      <xdr:spPr>
        <a:xfrm flipH="1" flipV="1">
          <a:off x="14906625" y="4773930"/>
          <a:ext cx="268821" cy="527756"/>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114300</xdr:colOff>
      <xdr:row>15</xdr:row>
      <xdr:rowOff>7620</xdr:rowOff>
    </xdr:from>
    <xdr:to>
      <xdr:col>7</xdr:col>
      <xdr:colOff>352524</xdr:colOff>
      <xdr:row>15</xdr:row>
      <xdr:rowOff>7620</xdr:rowOff>
    </xdr:to>
    <xdr:cxnSp macro="">
      <xdr:nvCxnSpPr>
        <xdr:cNvPr id="16" name="15 Conector recto de flecha">
          <a:extLst>
            <a:ext uri="{FF2B5EF4-FFF2-40B4-BE49-F238E27FC236}">
              <a16:creationId xmlns:a16="http://schemas.microsoft.com/office/drawing/2014/main" id="{00000000-0008-0000-1900-000010000000}"/>
            </a:ext>
          </a:extLst>
        </xdr:cNvPr>
        <xdr:cNvCxnSpPr/>
      </xdr:nvCxnSpPr>
      <xdr:spPr>
        <a:xfrm flipH="1">
          <a:off x="7086600" y="3312795"/>
          <a:ext cx="238224" cy="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99060</xdr:colOff>
      <xdr:row>22</xdr:row>
      <xdr:rowOff>342900</xdr:rowOff>
    </xdr:from>
    <xdr:to>
      <xdr:col>11</xdr:col>
      <xdr:colOff>368440</xdr:colOff>
      <xdr:row>24</xdr:row>
      <xdr:rowOff>103346</xdr:rowOff>
    </xdr:to>
    <xdr:cxnSp macro="">
      <xdr:nvCxnSpPr>
        <xdr:cNvPr id="17" name="16 Conector recto de flecha">
          <a:extLst>
            <a:ext uri="{FF2B5EF4-FFF2-40B4-BE49-F238E27FC236}">
              <a16:creationId xmlns:a16="http://schemas.microsoft.com/office/drawing/2014/main" id="{00000000-0008-0000-1900-000011000000}"/>
            </a:ext>
          </a:extLst>
        </xdr:cNvPr>
        <xdr:cNvCxnSpPr/>
      </xdr:nvCxnSpPr>
      <xdr:spPr>
        <a:xfrm flipH="1">
          <a:off x="10024110" y="5048250"/>
          <a:ext cx="269380" cy="331946"/>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480060</xdr:colOff>
      <xdr:row>22</xdr:row>
      <xdr:rowOff>62865</xdr:rowOff>
    </xdr:from>
    <xdr:to>
      <xdr:col>10</xdr:col>
      <xdr:colOff>482078</xdr:colOff>
      <xdr:row>22</xdr:row>
      <xdr:rowOff>321945</xdr:rowOff>
    </xdr:to>
    <xdr:cxnSp macro="">
      <xdr:nvCxnSpPr>
        <xdr:cNvPr id="18" name="17 Conector recto de flecha">
          <a:extLst>
            <a:ext uri="{FF2B5EF4-FFF2-40B4-BE49-F238E27FC236}">
              <a16:creationId xmlns:a16="http://schemas.microsoft.com/office/drawing/2014/main" id="{00000000-0008-0000-1900-000012000000}"/>
            </a:ext>
          </a:extLst>
        </xdr:cNvPr>
        <xdr:cNvCxnSpPr/>
      </xdr:nvCxnSpPr>
      <xdr:spPr>
        <a:xfrm flipH="1" flipV="1">
          <a:off x="9376410" y="4768215"/>
          <a:ext cx="2018" cy="259080"/>
        </a:xfrm>
        <a:prstGeom prst="straightConnector1">
          <a:avLst/>
        </a:prstGeom>
        <a:ln w="28575">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264584</xdr:colOff>
      <xdr:row>2</xdr:row>
      <xdr:rowOff>105834</xdr:rowOff>
    </xdr:from>
    <xdr:to>
      <xdr:col>9</xdr:col>
      <xdr:colOff>232834</xdr:colOff>
      <xdr:row>5</xdr:row>
      <xdr:rowOff>169334</xdr:rowOff>
    </xdr:to>
    <xdr:sp macro="" textlink="">
      <xdr:nvSpPr>
        <xdr:cNvPr id="19" name="18 Elipse">
          <a:extLst>
            <a:ext uri="{FF2B5EF4-FFF2-40B4-BE49-F238E27FC236}">
              <a16:creationId xmlns:a16="http://schemas.microsoft.com/office/drawing/2014/main" id="{00000000-0008-0000-1900-000013000000}"/>
            </a:ext>
          </a:extLst>
        </xdr:cNvPr>
        <xdr:cNvSpPr/>
      </xdr:nvSpPr>
      <xdr:spPr>
        <a:xfrm>
          <a:off x="7236884" y="591609"/>
          <a:ext cx="1492250" cy="720725"/>
        </a:xfrm>
        <a:prstGeom prst="ellipse">
          <a:avLst/>
        </a:prstGeom>
        <a:noFill/>
        <a:ln cmpd="sng"/>
        <a:effectLst>
          <a:outerShdw blurRad="114300" dir="5220000" sx="106000" sy="106000" algn="ctr" rotWithShape="0">
            <a:schemeClr val="tx1"/>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5</xdr:col>
      <xdr:colOff>1058300</xdr:colOff>
      <xdr:row>4</xdr:row>
      <xdr:rowOff>84664</xdr:rowOff>
    </xdr:from>
    <xdr:to>
      <xdr:col>7</xdr:col>
      <xdr:colOff>243384</xdr:colOff>
      <xdr:row>7</xdr:row>
      <xdr:rowOff>148164</xdr:rowOff>
    </xdr:to>
    <xdr:sp macro="" textlink="">
      <xdr:nvSpPr>
        <xdr:cNvPr id="20" name="19 Elipse">
          <a:extLst>
            <a:ext uri="{FF2B5EF4-FFF2-40B4-BE49-F238E27FC236}">
              <a16:creationId xmlns:a16="http://schemas.microsoft.com/office/drawing/2014/main" id="{00000000-0008-0000-1900-000014000000}"/>
            </a:ext>
          </a:extLst>
        </xdr:cNvPr>
        <xdr:cNvSpPr/>
      </xdr:nvSpPr>
      <xdr:spPr>
        <a:xfrm>
          <a:off x="5725550" y="980014"/>
          <a:ext cx="1490134" cy="682625"/>
        </a:xfrm>
        <a:prstGeom prst="ellipse">
          <a:avLst/>
        </a:prstGeom>
        <a:noFill/>
        <a:ln cmpd="sng"/>
        <a:effectLst>
          <a:outerShdw blurRad="114300" dir="5220000" sx="106000" sy="106000" algn="ctr" rotWithShape="0">
            <a:schemeClr val="tx1"/>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4</xdr:col>
      <xdr:colOff>882657</xdr:colOff>
      <xdr:row>7</xdr:row>
      <xdr:rowOff>162970</xdr:rowOff>
    </xdr:from>
    <xdr:to>
      <xdr:col>6</xdr:col>
      <xdr:colOff>258240</xdr:colOff>
      <xdr:row>10</xdr:row>
      <xdr:rowOff>67720</xdr:rowOff>
    </xdr:to>
    <xdr:sp macro="" textlink="">
      <xdr:nvSpPr>
        <xdr:cNvPr id="21" name="20 Elipse">
          <a:extLst>
            <a:ext uri="{FF2B5EF4-FFF2-40B4-BE49-F238E27FC236}">
              <a16:creationId xmlns:a16="http://schemas.microsoft.com/office/drawing/2014/main" id="{00000000-0008-0000-1900-000015000000}"/>
            </a:ext>
          </a:extLst>
        </xdr:cNvPr>
        <xdr:cNvSpPr/>
      </xdr:nvSpPr>
      <xdr:spPr>
        <a:xfrm>
          <a:off x="4616457" y="1677445"/>
          <a:ext cx="1490133" cy="647700"/>
        </a:xfrm>
        <a:prstGeom prst="ellipse">
          <a:avLst/>
        </a:prstGeom>
        <a:noFill/>
        <a:ln cmpd="sng"/>
        <a:effectLst>
          <a:outerShdw blurRad="114300" dir="5220000" sx="106000" sy="106000" algn="ctr" rotWithShape="0">
            <a:schemeClr val="tx1"/>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8</xdr:col>
      <xdr:colOff>910167</xdr:colOff>
      <xdr:row>6</xdr:row>
      <xdr:rowOff>74083</xdr:rowOff>
    </xdr:from>
    <xdr:to>
      <xdr:col>9</xdr:col>
      <xdr:colOff>285750</xdr:colOff>
      <xdr:row>9</xdr:row>
      <xdr:rowOff>0</xdr:rowOff>
    </xdr:to>
    <xdr:cxnSp macro="">
      <xdr:nvCxnSpPr>
        <xdr:cNvPr id="22" name="21 Conector recto de flecha">
          <a:extLst>
            <a:ext uri="{FF2B5EF4-FFF2-40B4-BE49-F238E27FC236}">
              <a16:creationId xmlns:a16="http://schemas.microsoft.com/office/drawing/2014/main" id="{00000000-0008-0000-1900-000016000000}"/>
            </a:ext>
          </a:extLst>
        </xdr:cNvPr>
        <xdr:cNvCxnSpPr/>
      </xdr:nvCxnSpPr>
      <xdr:spPr>
        <a:xfrm flipH="1" flipV="1">
          <a:off x="8292042" y="1398058"/>
          <a:ext cx="490008" cy="668867"/>
        </a:xfrm>
        <a:prstGeom prst="straightConnector1">
          <a:avLst/>
        </a:prstGeom>
        <a:ln w="28575">
          <a:solidFill>
            <a:schemeClr val="accent6">
              <a:lumMod val="75000"/>
            </a:schemeClr>
          </a:solidFill>
          <a:prstDash val="sysDash"/>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201083</xdr:colOff>
      <xdr:row>10</xdr:row>
      <xdr:rowOff>21167</xdr:rowOff>
    </xdr:from>
    <xdr:to>
      <xdr:col>6</xdr:col>
      <xdr:colOff>687918</xdr:colOff>
      <xdr:row>12</xdr:row>
      <xdr:rowOff>190501</xdr:rowOff>
    </xdr:to>
    <xdr:cxnSp macro="">
      <xdr:nvCxnSpPr>
        <xdr:cNvPr id="23" name="22 Conector recto de flecha">
          <a:extLst>
            <a:ext uri="{FF2B5EF4-FFF2-40B4-BE49-F238E27FC236}">
              <a16:creationId xmlns:a16="http://schemas.microsoft.com/office/drawing/2014/main" id="{00000000-0008-0000-1900-000017000000}"/>
            </a:ext>
          </a:extLst>
        </xdr:cNvPr>
        <xdr:cNvCxnSpPr/>
      </xdr:nvCxnSpPr>
      <xdr:spPr>
        <a:xfrm flipH="1" flipV="1">
          <a:off x="6049433" y="2278592"/>
          <a:ext cx="486835" cy="569384"/>
        </a:xfrm>
        <a:prstGeom prst="straightConnector1">
          <a:avLst/>
        </a:prstGeom>
        <a:ln w="28575">
          <a:solidFill>
            <a:schemeClr val="accent6">
              <a:lumMod val="75000"/>
            </a:schemeClr>
          </a:solidFill>
          <a:prstDash val="sysDash"/>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1100667</xdr:colOff>
      <xdr:row>7</xdr:row>
      <xdr:rowOff>179916</xdr:rowOff>
    </xdr:from>
    <xdr:to>
      <xdr:col>8</xdr:col>
      <xdr:colOff>539750</xdr:colOff>
      <xdr:row>13</xdr:row>
      <xdr:rowOff>1</xdr:rowOff>
    </xdr:to>
    <xdr:cxnSp macro="">
      <xdr:nvCxnSpPr>
        <xdr:cNvPr id="24" name="23 Conector recto de flecha">
          <a:extLst>
            <a:ext uri="{FF2B5EF4-FFF2-40B4-BE49-F238E27FC236}">
              <a16:creationId xmlns:a16="http://schemas.microsoft.com/office/drawing/2014/main" id="{00000000-0008-0000-1900-000018000000}"/>
            </a:ext>
          </a:extLst>
        </xdr:cNvPr>
        <xdr:cNvCxnSpPr/>
      </xdr:nvCxnSpPr>
      <xdr:spPr>
        <a:xfrm flipH="1" flipV="1">
          <a:off x="6949017" y="1694391"/>
          <a:ext cx="972608" cy="1220260"/>
        </a:xfrm>
        <a:prstGeom prst="straightConnector1">
          <a:avLst/>
        </a:prstGeom>
        <a:ln w="28575">
          <a:solidFill>
            <a:schemeClr val="accent6">
              <a:lumMod val="75000"/>
            </a:schemeClr>
          </a:solidFill>
          <a:prstDash val="sysDash"/>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338721</xdr:colOff>
      <xdr:row>10</xdr:row>
      <xdr:rowOff>52921</xdr:rowOff>
    </xdr:from>
    <xdr:to>
      <xdr:col>17</xdr:col>
      <xdr:colOff>243471</xdr:colOff>
      <xdr:row>13</xdr:row>
      <xdr:rowOff>127005</xdr:rowOff>
    </xdr:to>
    <xdr:sp macro="" textlink="">
      <xdr:nvSpPr>
        <xdr:cNvPr id="25" name="24 Elipse">
          <a:extLst>
            <a:ext uri="{FF2B5EF4-FFF2-40B4-BE49-F238E27FC236}">
              <a16:creationId xmlns:a16="http://schemas.microsoft.com/office/drawing/2014/main" id="{00000000-0008-0000-1900-000019000000}"/>
            </a:ext>
          </a:extLst>
        </xdr:cNvPr>
        <xdr:cNvSpPr/>
      </xdr:nvSpPr>
      <xdr:spPr>
        <a:xfrm>
          <a:off x="13654671" y="2310346"/>
          <a:ext cx="1457325" cy="731309"/>
        </a:xfrm>
        <a:prstGeom prst="ellipse">
          <a:avLst/>
        </a:prstGeom>
        <a:noFill/>
        <a:ln cmpd="sng"/>
        <a:effectLst>
          <a:outerShdw blurRad="114300" dir="5220000" sx="106000" sy="106000" algn="ctr" rotWithShape="0">
            <a:schemeClr val="tx1"/>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13</xdr:col>
      <xdr:colOff>74084</xdr:colOff>
      <xdr:row>12</xdr:row>
      <xdr:rowOff>169333</xdr:rowOff>
    </xdr:from>
    <xdr:to>
      <xdr:col>15</xdr:col>
      <xdr:colOff>222251</xdr:colOff>
      <xdr:row>15</xdr:row>
      <xdr:rowOff>158751</xdr:rowOff>
    </xdr:to>
    <xdr:cxnSp macro="">
      <xdr:nvCxnSpPr>
        <xdr:cNvPr id="26" name="25 Conector recto de flecha">
          <a:extLst>
            <a:ext uri="{FF2B5EF4-FFF2-40B4-BE49-F238E27FC236}">
              <a16:creationId xmlns:a16="http://schemas.microsoft.com/office/drawing/2014/main" id="{00000000-0008-0000-1900-00001A000000}"/>
            </a:ext>
          </a:extLst>
        </xdr:cNvPr>
        <xdr:cNvCxnSpPr/>
      </xdr:nvCxnSpPr>
      <xdr:spPr>
        <a:xfrm flipV="1">
          <a:off x="11799359" y="2826808"/>
          <a:ext cx="1738842" cy="637118"/>
        </a:xfrm>
        <a:prstGeom prst="straightConnector1">
          <a:avLst/>
        </a:prstGeom>
        <a:ln w="28575">
          <a:solidFill>
            <a:schemeClr val="accent6">
              <a:lumMod val="75000"/>
            </a:schemeClr>
          </a:solidFill>
          <a:prstDash val="sysDash"/>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4:G12"/>
  <sheetViews>
    <sheetView workbookViewId="0">
      <selection activeCell="B4" sqref="B4:G12"/>
    </sheetView>
  </sheetViews>
  <sheetFormatPr baseColWidth="10" defaultRowHeight="15" x14ac:dyDescent="0.2"/>
  <cols>
    <col min="2" max="2" width="22.5546875" customWidth="1"/>
    <col min="3" max="3" width="15.77734375" customWidth="1"/>
    <col min="4" max="4" width="7.5546875" customWidth="1"/>
    <col min="5" max="5" width="16.33203125" customWidth="1"/>
    <col min="6" max="6" width="7.88671875" bestFit="1" customWidth="1"/>
    <col min="7" max="7" width="11.21875" bestFit="1" customWidth="1"/>
  </cols>
  <sheetData>
    <row r="4" spans="2:7" ht="15.75" x14ac:dyDescent="0.25">
      <c r="B4" s="580" t="s">
        <v>1039</v>
      </c>
      <c r="C4" s="184" t="s">
        <v>1035</v>
      </c>
      <c r="D4" s="184" t="s">
        <v>1036</v>
      </c>
      <c r="E4" s="184" t="s">
        <v>1034</v>
      </c>
      <c r="F4" s="184" t="s">
        <v>1036</v>
      </c>
      <c r="G4" s="184" t="s">
        <v>1036</v>
      </c>
    </row>
    <row r="5" spans="2:7" ht="15.75" x14ac:dyDescent="0.25">
      <c r="B5" s="181"/>
      <c r="C5" s="184"/>
      <c r="D5" s="184" t="s">
        <v>1037</v>
      </c>
      <c r="E5" s="184"/>
      <c r="F5" s="184" t="s">
        <v>1037</v>
      </c>
      <c r="G5" s="184" t="s">
        <v>1038</v>
      </c>
    </row>
    <row r="6" spans="2:7" x14ac:dyDescent="0.2">
      <c r="B6" s="274" t="s">
        <v>171</v>
      </c>
      <c r="C6" s="274">
        <v>14218227029</v>
      </c>
      <c r="D6" s="575">
        <v>0.84068613288457616</v>
      </c>
      <c r="E6" s="274">
        <v>11918849447</v>
      </c>
      <c r="F6" s="575">
        <v>0.80790939609377088</v>
      </c>
      <c r="G6" s="576">
        <v>0.19291942500194584</v>
      </c>
    </row>
    <row r="7" spans="2:7" x14ac:dyDescent="0.2">
      <c r="B7" s="274" t="s">
        <v>267</v>
      </c>
      <c r="C7" s="274">
        <v>16912646079</v>
      </c>
      <c r="D7" s="575">
        <v>1</v>
      </c>
      <c r="E7" s="274">
        <v>14752705569</v>
      </c>
      <c r="F7" s="575">
        <v>1</v>
      </c>
      <c r="G7" s="576">
        <v>0.14640978903142374</v>
      </c>
    </row>
    <row r="8" spans="2:7" x14ac:dyDescent="0.2">
      <c r="B8" s="274" t="s">
        <v>177</v>
      </c>
      <c r="C8" s="274">
        <v>10344715026</v>
      </c>
      <c r="D8" s="575">
        <v>0.74436602277321184</v>
      </c>
      <c r="E8" s="274">
        <v>8625051760</v>
      </c>
      <c r="F8" s="575">
        <v>0.72693208073796756</v>
      </c>
      <c r="G8" s="576">
        <v>0.19938005172040846</v>
      </c>
    </row>
    <row r="9" spans="2:7" x14ac:dyDescent="0.2">
      <c r="B9" s="274" t="s">
        <v>275</v>
      </c>
      <c r="C9" s="274">
        <v>13897349838</v>
      </c>
      <c r="D9" s="576">
        <v>1</v>
      </c>
      <c r="E9" s="274">
        <v>11865003607</v>
      </c>
      <c r="F9" s="576">
        <v>1</v>
      </c>
      <c r="G9" s="576">
        <v>0.17128913722377428</v>
      </c>
    </row>
    <row r="10" spans="2:7" x14ac:dyDescent="0.2">
      <c r="B10" s="274" t="s">
        <v>47</v>
      </c>
      <c r="C10" s="274">
        <v>3015296241</v>
      </c>
      <c r="D10" s="576">
        <v>1</v>
      </c>
      <c r="E10" s="274">
        <v>2887708962</v>
      </c>
      <c r="F10" s="576">
        <v>1</v>
      </c>
      <c r="G10" s="576">
        <v>4.4182873232361426E-2</v>
      </c>
    </row>
    <row r="11" spans="2:7" x14ac:dyDescent="0.2">
      <c r="B11" s="181"/>
      <c r="C11" s="181"/>
      <c r="D11" s="181"/>
      <c r="E11" s="181"/>
      <c r="F11" s="181"/>
      <c r="G11" s="181"/>
    </row>
    <row r="12" spans="2:7" ht="15.75" x14ac:dyDescent="0.25">
      <c r="B12" s="577" t="s">
        <v>52</v>
      </c>
      <c r="C12" s="577">
        <v>1212344795</v>
      </c>
      <c r="D12" s="578">
        <v>1</v>
      </c>
      <c r="E12" s="577">
        <v>1089633507</v>
      </c>
      <c r="F12" s="578">
        <v>1</v>
      </c>
      <c r="G12" s="579">
        <v>0.11261702876396587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4">
    <pageSetUpPr fitToPage="1"/>
  </sheetPr>
  <dimension ref="F1:T45"/>
  <sheetViews>
    <sheetView showGridLines="0" topLeftCell="H1" zoomScale="90" zoomScaleNormal="90" workbookViewId="0">
      <selection activeCell="O21" sqref="O21:O22"/>
    </sheetView>
  </sheetViews>
  <sheetFormatPr baseColWidth="10" defaultColWidth="10.88671875" defaultRowHeight="15" x14ac:dyDescent="0.25"/>
  <cols>
    <col min="1" max="5" width="10.88671875" style="215"/>
    <col min="6" max="6" width="13.77734375" style="215" customWidth="1"/>
    <col min="7" max="7" width="13.109375" style="215" customWidth="1"/>
    <col min="8" max="8" width="4.77734375" style="215" customWidth="1"/>
    <col min="9" max="9" width="13" style="215" customWidth="1"/>
    <col min="10" max="10" width="4.6640625" style="215" customWidth="1"/>
    <col min="11" max="11" width="12" style="215" customWidth="1"/>
    <col min="12" max="12" width="5.5546875" style="215" customWidth="1"/>
    <col min="13" max="13" width="15.44140625" style="215" customWidth="1"/>
    <col min="14" max="14" width="6.21875" style="215" customWidth="1"/>
    <col min="15" max="15" width="12.33203125" style="215" customWidth="1"/>
    <col min="16" max="16" width="5.44140625" style="215" customWidth="1"/>
    <col min="17" max="17" width="12.6640625" style="215" customWidth="1"/>
    <col min="18" max="18" width="4.33203125" style="215" customWidth="1"/>
    <col min="19" max="19" width="12.33203125" style="215" customWidth="1"/>
    <col min="20" max="16384" width="10.88671875" style="215"/>
  </cols>
  <sheetData>
    <row r="1" spans="6:20" ht="23.25" x14ac:dyDescent="0.35">
      <c r="I1" s="1208" t="s">
        <v>521</v>
      </c>
      <c r="J1" s="1208"/>
      <c r="K1" s="1208"/>
      <c r="L1" s="1208"/>
      <c r="M1" s="1208"/>
      <c r="N1" s="1208"/>
      <c r="O1" s="1208"/>
      <c r="P1" s="1208"/>
      <c r="Q1" s="1208"/>
      <c r="R1" s="1208"/>
    </row>
    <row r="3" spans="6:20" ht="15.75" thickBot="1" x14ac:dyDescent="0.3">
      <c r="F3" s="216"/>
      <c r="G3" s="216"/>
      <c r="H3" s="216"/>
      <c r="I3" s="216"/>
      <c r="J3" s="216"/>
      <c r="K3" s="216"/>
      <c r="L3" s="216"/>
      <c r="M3" s="217" t="s">
        <v>522</v>
      </c>
      <c r="N3" s="216"/>
      <c r="O3" s="216"/>
      <c r="P3" s="216"/>
      <c r="Q3" s="216"/>
      <c r="R3" s="216"/>
      <c r="S3" s="216"/>
      <c r="T3" s="216"/>
    </row>
    <row r="4" spans="6:20" ht="15.75" x14ac:dyDescent="0.25">
      <c r="F4" s="216"/>
      <c r="G4" s="218"/>
      <c r="H4" s="1209"/>
      <c r="I4" s="1209"/>
      <c r="J4" s="1209"/>
      <c r="K4" s="1209"/>
      <c r="L4" s="216"/>
      <c r="M4" s="1204">
        <f>'Indicadores (2)'!G14</f>
        <v>2.3989379379441407</v>
      </c>
      <c r="N4" s="216"/>
      <c r="O4" s="216"/>
      <c r="P4" s="216"/>
      <c r="Q4" s="216"/>
      <c r="R4" s="216"/>
      <c r="S4" s="216"/>
      <c r="T4" s="216"/>
    </row>
    <row r="5" spans="6:20" ht="16.5" thickBot="1" x14ac:dyDescent="0.3">
      <c r="F5" s="216"/>
      <c r="G5" s="218"/>
      <c r="H5" s="219"/>
      <c r="I5" s="220"/>
      <c r="J5" s="216"/>
      <c r="K5" s="221"/>
      <c r="L5" s="216"/>
      <c r="M5" s="1205"/>
      <c r="N5" s="216"/>
      <c r="O5" s="216"/>
      <c r="P5" s="216"/>
      <c r="Q5" s="216"/>
      <c r="R5" s="216"/>
      <c r="S5" s="216"/>
      <c r="T5" s="216"/>
    </row>
    <row r="6" spans="6:20" ht="14.45" customHeight="1" thickBot="1" x14ac:dyDescent="0.3">
      <c r="F6" s="216"/>
      <c r="G6" s="216"/>
      <c r="H6" s="216"/>
      <c r="I6" s="216"/>
      <c r="J6" s="216"/>
      <c r="K6" s="216"/>
      <c r="L6" s="216"/>
      <c r="M6" s="216"/>
      <c r="N6" s="216"/>
      <c r="O6" s="217" t="s">
        <v>523</v>
      </c>
      <c r="P6" s="216"/>
      <c r="Q6" s="216"/>
      <c r="R6" s="216"/>
      <c r="S6" s="216"/>
      <c r="T6" s="216"/>
    </row>
    <row r="7" spans="6:20" ht="15" customHeight="1" x14ac:dyDescent="0.25">
      <c r="F7" s="216"/>
      <c r="G7" s="216"/>
      <c r="H7" s="216"/>
      <c r="I7" s="216"/>
      <c r="J7" s="216"/>
      <c r="K7" s="218"/>
      <c r="L7" s="216"/>
      <c r="M7" s="216"/>
      <c r="N7" s="216"/>
      <c r="O7" s="1204">
        <f>'Indicadores (2)'!G13</f>
        <v>1.1697937730113548E-2</v>
      </c>
      <c r="P7" s="216"/>
      <c r="Q7" s="216"/>
      <c r="R7" s="216"/>
      <c r="S7" s="216"/>
      <c r="T7" s="216"/>
    </row>
    <row r="8" spans="6:20" ht="15" customHeight="1" thickBot="1" x14ac:dyDescent="0.3">
      <c r="F8" s="216"/>
      <c r="G8" s="216"/>
      <c r="H8" s="216"/>
      <c r="I8" s="216"/>
      <c r="J8" s="216"/>
      <c r="K8" s="218"/>
      <c r="L8" s="216"/>
      <c r="M8" s="216"/>
      <c r="N8" s="216"/>
      <c r="O8" s="1205"/>
      <c r="P8" s="216"/>
      <c r="Q8" s="216"/>
      <c r="R8" s="216"/>
      <c r="S8" s="216"/>
      <c r="T8" s="216"/>
    </row>
    <row r="9" spans="6:20" ht="28.9" customHeight="1" thickBot="1" x14ac:dyDescent="0.3">
      <c r="F9" s="216"/>
      <c r="G9" s="216"/>
      <c r="H9" s="216"/>
      <c r="I9" s="216"/>
      <c r="J9" s="216"/>
      <c r="K9" s="222" t="s">
        <v>524</v>
      </c>
      <c r="L9" s="216"/>
      <c r="M9" s="217" t="s">
        <v>525</v>
      </c>
      <c r="N9" s="216"/>
      <c r="O9" s="216"/>
      <c r="P9" s="216"/>
      <c r="Q9" s="216"/>
      <c r="R9" s="216"/>
      <c r="S9" s="216"/>
      <c r="T9" s="216"/>
    </row>
    <row r="10" spans="6:20" ht="15.6" customHeight="1" x14ac:dyDescent="0.25">
      <c r="F10" s="216"/>
      <c r="G10" s="216"/>
      <c r="H10" s="216"/>
      <c r="I10" s="216"/>
      <c r="J10" s="216"/>
      <c r="K10" s="1204" t="e">
        <f>'PYGCOM-CON AÑO ANTERIOR '!D92</f>
        <v>#REF!</v>
      </c>
      <c r="L10" s="216"/>
      <c r="M10" s="1204">
        <f>'Indicadores (2)'!G15</f>
        <v>1.1526499392775637E-2</v>
      </c>
      <c r="N10" s="216"/>
      <c r="O10" s="216"/>
      <c r="P10" s="216"/>
      <c r="Q10" s="216"/>
      <c r="R10" s="216"/>
      <c r="S10" s="216"/>
      <c r="T10" s="216"/>
    </row>
    <row r="11" spans="6:20" ht="15.6" customHeight="1" thickBot="1" x14ac:dyDescent="0.3">
      <c r="F11" s="216"/>
      <c r="G11" s="216"/>
      <c r="H11" s="216"/>
      <c r="I11" s="216"/>
      <c r="J11" s="216"/>
      <c r="K11" s="1205"/>
      <c r="L11" s="216"/>
      <c r="M11" s="1205"/>
      <c r="N11" s="216"/>
      <c r="O11" s="216"/>
      <c r="P11" s="216"/>
      <c r="Q11" s="216"/>
      <c r="R11" s="216"/>
      <c r="S11" s="216"/>
      <c r="T11" s="216"/>
    </row>
    <row r="12" spans="6:20" ht="16.5" thickBot="1" x14ac:dyDescent="0.3">
      <c r="F12" s="216"/>
      <c r="G12" s="216"/>
      <c r="H12" s="216"/>
      <c r="I12" s="216"/>
      <c r="J12" s="216"/>
      <c r="K12" s="218"/>
      <c r="L12" s="216"/>
      <c r="M12" s="217" t="s">
        <v>526</v>
      </c>
      <c r="N12" s="216"/>
      <c r="O12" s="216"/>
      <c r="P12" s="216"/>
      <c r="Q12" s="216"/>
      <c r="R12" s="216"/>
      <c r="S12" s="216"/>
      <c r="T12" s="216"/>
    </row>
    <row r="13" spans="6:20" ht="16.5" thickTop="1" x14ac:dyDescent="0.25">
      <c r="F13" s="216"/>
      <c r="G13" s="216"/>
      <c r="H13" s="216"/>
      <c r="I13" s="216"/>
      <c r="J13" s="216"/>
      <c r="K13" s="218"/>
      <c r="L13" s="216"/>
      <c r="M13" s="1206">
        <f>'PYGCOM-CON AÑO ANTERIOR '!D19</f>
        <v>0.44080461425523965</v>
      </c>
      <c r="N13" s="216"/>
      <c r="O13" s="216"/>
      <c r="P13" s="216"/>
      <c r="Q13" s="216"/>
      <c r="R13" s="216"/>
      <c r="S13" s="216"/>
      <c r="T13" s="216"/>
    </row>
    <row r="14" spans="6:20" ht="15.75" thickBot="1" x14ac:dyDescent="0.3">
      <c r="F14" s="216"/>
      <c r="G14" s="217" t="s">
        <v>527</v>
      </c>
      <c r="H14" s="216"/>
      <c r="I14" s="217" t="s">
        <v>528</v>
      </c>
      <c r="J14" s="216"/>
      <c r="K14" s="216"/>
      <c r="L14" s="216"/>
      <c r="M14" s="1207"/>
      <c r="N14" s="216"/>
      <c r="O14" s="216"/>
      <c r="P14" s="216"/>
      <c r="Q14" s="216"/>
      <c r="R14" s="216"/>
      <c r="S14" s="216"/>
      <c r="T14" s="216"/>
    </row>
    <row r="15" spans="6:20" ht="15" customHeight="1" thickTop="1" thickBot="1" x14ac:dyDescent="0.3">
      <c r="F15" s="216"/>
      <c r="G15" s="1202" t="e">
        <f>'Indicadores (2)'!G24</f>
        <v>#REF!</v>
      </c>
      <c r="H15" s="216"/>
      <c r="I15" s="1204">
        <f>'Indicadores (2)'!G29</f>
        <v>9.3971019134788419E-2</v>
      </c>
      <c r="J15" s="216"/>
      <c r="K15" s="216"/>
      <c r="L15" s="216"/>
      <c r="M15" s="217" t="s">
        <v>529</v>
      </c>
      <c r="N15" s="216"/>
      <c r="O15" s="216"/>
      <c r="P15" s="216"/>
      <c r="Q15" s="216"/>
      <c r="R15" s="216"/>
      <c r="S15" s="216"/>
      <c r="T15" s="216"/>
    </row>
    <row r="16" spans="6:20" ht="16.5" thickBot="1" x14ac:dyDescent="0.3">
      <c r="F16" s="218"/>
      <c r="G16" s="1203"/>
      <c r="H16" s="218"/>
      <c r="I16" s="1205"/>
      <c r="J16" s="216"/>
      <c r="K16" s="216"/>
      <c r="L16" s="216"/>
      <c r="M16" s="1204" t="e">
        <f>'PYGCOM-CON AÑO ANTERIOR '!D91+'PYGCOM-CON AÑO ANTERIOR '!D41</f>
        <v>#REF!</v>
      </c>
      <c r="N16" s="216"/>
      <c r="O16" s="216"/>
      <c r="P16" s="216"/>
      <c r="Q16" s="216"/>
      <c r="R16" s="216"/>
      <c r="S16" s="216"/>
      <c r="T16" s="216"/>
    </row>
    <row r="17" spans="6:20" ht="15" customHeight="1" thickBot="1" x14ac:dyDescent="0.3">
      <c r="F17" s="216"/>
      <c r="G17" s="223"/>
      <c r="H17" s="216"/>
      <c r="I17" s="216"/>
      <c r="J17" s="216"/>
      <c r="K17" s="216"/>
      <c r="L17" s="216"/>
      <c r="M17" s="1205"/>
      <c r="N17" s="216"/>
      <c r="O17" s="217" t="s">
        <v>530</v>
      </c>
      <c r="P17" s="216"/>
      <c r="Q17" s="216"/>
      <c r="R17" s="216"/>
      <c r="S17" s="217" t="s">
        <v>531</v>
      </c>
      <c r="T17" s="216"/>
    </row>
    <row r="18" spans="6:20" ht="15" customHeight="1" x14ac:dyDescent="0.25">
      <c r="F18" s="216"/>
      <c r="G18" s="216"/>
      <c r="H18" s="216"/>
      <c r="I18" s="216"/>
      <c r="J18" s="216"/>
      <c r="K18" s="224"/>
      <c r="L18" s="216"/>
      <c r="M18" s="225"/>
      <c r="N18" s="216"/>
      <c r="O18" s="1204">
        <f>'Indicadores (2)'!G37</f>
        <v>0.75579363329790406</v>
      </c>
      <c r="P18" s="216"/>
      <c r="Q18" s="216"/>
      <c r="R18" s="216"/>
      <c r="S18" s="1204">
        <v>0.96737683555416598</v>
      </c>
      <c r="T18" s="216"/>
    </row>
    <row r="19" spans="6:20" ht="15.6" customHeight="1" thickBot="1" x14ac:dyDescent="0.3">
      <c r="F19" s="216"/>
      <c r="G19" s="216"/>
      <c r="H19" s="216"/>
      <c r="I19" s="216"/>
      <c r="J19" s="1210"/>
      <c r="K19" s="216"/>
      <c r="L19" s="218"/>
      <c r="M19" s="216"/>
      <c r="N19" s="216"/>
      <c r="O19" s="1205"/>
      <c r="P19" s="216"/>
      <c r="Q19" s="216"/>
      <c r="R19" s="216"/>
      <c r="S19" s="1205"/>
      <c r="T19" s="216"/>
    </row>
    <row r="20" spans="6:20" ht="16.5" thickBot="1" x14ac:dyDescent="0.3">
      <c r="F20" s="216"/>
      <c r="G20" s="216"/>
      <c r="H20" s="216"/>
      <c r="I20" s="216"/>
      <c r="J20" s="1210"/>
      <c r="K20" s="217" t="s">
        <v>587</v>
      </c>
      <c r="L20" s="218"/>
      <c r="M20" s="216"/>
      <c r="N20" s="216"/>
      <c r="O20" s="217" t="s">
        <v>534</v>
      </c>
      <c r="P20" s="216"/>
      <c r="Q20" s="217" t="s">
        <v>535</v>
      </c>
      <c r="R20" s="216"/>
      <c r="S20" s="217" t="s">
        <v>536</v>
      </c>
      <c r="T20" s="216"/>
    </row>
    <row r="21" spans="6:20" ht="16.149999999999999" customHeight="1" x14ac:dyDescent="0.25">
      <c r="F21" s="216"/>
      <c r="G21" s="216"/>
      <c r="H21" s="216"/>
      <c r="I21" s="226"/>
      <c r="J21" s="1210"/>
      <c r="K21" s="1204" t="e">
        <f>'EJE PRESUPUESTAL '!#REF!</f>
        <v>#REF!</v>
      </c>
      <c r="L21" s="216"/>
      <c r="M21" s="216"/>
      <c r="N21" s="216"/>
      <c r="O21" s="1211">
        <f>'Indicadores (2)'!G38</f>
        <v>5.449113021785832E-2</v>
      </c>
      <c r="P21" s="216"/>
      <c r="Q21" s="1204">
        <f>'Indicadores (2)'!G8</f>
        <v>0.13556482104680626</v>
      </c>
      <c r="R21" s="216"/>
      <c r="S21" s="1204">
        <v>0.9866578635606561</v>
      </c>
      <c r="T21" s="216"/>
    </row>
    <row r="22" spans="6:20" ht="16.5" thickBot="1" x14ac:dyDescent="0.3">
      <c r="F22" s="216"/>
      <c r="G22" s="216"/>
      <c r="H22" s="216"/>
      <c r="I22" s="226"/>
      <c r="J22" s="1210"/>
      <c r="K22" s="1205"/>
      <c r="L22" s="216"/>
      <c r="M22" s="217" t="s">
        <v>533</v>
      </c>
      <c r="N22" s="216"/>
      <c r="O22" s="1212"/>
      <c r="P22" s="216"/>
      <c r="Q22" s="1205"/>
      <c r="R22" s="216"/>
      <c r="S22" s="1205"/>
      <c r="T22" s="216"/>
    </row>
    <row r="23" spans="6:20" ht="28.9" customHeight="1" thickBot="1" x14ac:dyDescent="0.3">
      <c r="F23" s="216"/>
      <c r="G23" s="216"/>
      <c r="H23" s="216"/>
      <c r="I23" s="216"/>
      <c r="J23" s="1210"/>
      <c r="K23" s="216"/>
      <c r="L23" s="216"/>
      <c r="M23" s="1204">
        <v>1.05</v>
      </c>
      <c r="N23" s="216"/>
      <c r="O23" s="217" t="s">
        <v>537</v>
      </c>
      <c r="P23" s="216"/>
      <c r="Q23" s="216"/>
      <c r="R23" s="216"/>
      <c r="S23" s="217" t="s">
        <v>538</v>
      </c>
      <c r="T23" s="216"/>
    </row>
    <row r="24" spans="6:20" ht="16.5" thickBot="1" x14ac:dyDescent="0.3">
      <c r="F24" s="216"/>
      <c r="G24" s="216"/>
      <c r="H24" s="216"/>
      <c r="I24" s="226"/>
      <c r="J24" s="1210"/>
      <c r="K24" s="217" t="s">
        <v>532</v>
      </c>
      <c r="L24" s="216"/>
      <c r="M24" s="1205"/>
      <c r="N24" s="216"/>
      <c r="O24" s="1204">
        <f>'Indicadores (2)'!G39</f>
        <v>2.1770630055249849E-2</v>
      </c>
      <c r="P24" s="216"/>
      <c r="Q24" s="216"/>
      <c r="R24" s="216"/>
      <c r="S24" s="1204">
        <v>1.6329475445459847</v>
      </c>
      <c r="T24" s="216"/>
    </row>
    <row r="25" spans="6:20" ht="16.5" thickBot="1" x14ac:dyDescent="0.3">
      <c r="F25" s="216"/>
      <c r="G25" s="216"/>
      <c r="H25" s="216"/>
      <c r="I25" s="226"/>
      <c r="J25" s="1210"/>
      <c r="K25" s="1204">
        <v>1.0438531953140575</v>
      </c>
      <c r="L25" s="216"/>
      <c r="M25" s="216"/>
      <c r="N25" s="216"/>
      <c r="O25" s="1205"/>
      <c r="P25" s="216"/>
      <c r="Q25" s="216"/>
      <c r="R25" s="216"/>
      <c r="S25" s="1205"/>
      <c r="T25" s="216"/>
    </row>
    <row r="26" spans="6:20" ht="15.75" thickBot="1" x14ac:dyDescent="0.3">
      <c r="F26" s="216"/>
      <c r="G26" s="216"/>
      <c r="H26" s="216"/>
      <c r="I26" s="227"/>
      <c r="J26" s="1210"/>
      <c r="K26" s="1205"/>
      <c r="L26" s="216"/>
      <c r="M26" s="216"/>
      <c r="N26" s="216"/>
      <c r="O26" s="216"/>
      <c r="P26" s="216"/>
      <c r="Q26" s="216"/>
      <c r="R26" s="216"/>
      <c r="S26" s="216"/>
      <c r="T26" s="216"/>
    </row>
    <row r="27" spans="6:20" ht="15.75" x14ac:dyDescent="0.25">
      <c r="F27" s="216"/>
      <c r="G27" s="216"/>
      <c r="H27" s="216"/>
      <c r="I27" s="226"/>
      <c r="J27" s="216"/>
      <c r="K27" s="216"/>
      <c r="L27" s="216"/>
      <c r="M27" s="216"/>
      <c r="N27" s="216"/>
      <c r="O27" s="216"/>
      <c r="P27" s="216"/>
      <c r="Q27" s="216"/>
      <c r="R27" s="216"/>
      <c r="S27" s="216"/>
      <c r="T27" s="216"/>
    </row>
    <row r="28" spans="6:20" ht="15.75" x14ac:dyDescent="0.25">
      <c r="F28" s="216"/>
      <c r="G28" s="216"/>
      <c r="H28" s="216"/>
      <c r="I28" s="226"/>
      <c r="J28" s="216"/>
      <c r="K28" s="216"/>
      <c r="L28" s="216"/>
      <c r="M28" s="216"/>
      <c r="N28" s="216"/>
      <c r="O28" s="216"/>
      <c r="P28" s="216"/>
      <c r="Q28" s="216"/>
      <c r="R28" s="216"/>
      <c r="S28" s="216"/>
      <c r="T28" s="216"/>
    </row>
    <row r="29" spans="6:20" x14ac:dyDescent="0.25">
      <c r="F29" s="216"/>
      <c r="G29" s="216"/>
      <c r="H29" s="216"/>
      <c r="I29" s="216"/>
      <c r="J29" s="216"/>
      <c r="K29" s="216"/>
      <c r="L29" s="216"/>
      <c r="M29" s="216"/>
      <c r="N29" s="216"/>
      <c r="O29" s="216"/>
      <c r="P29" s="216"/>
      <c r="Q29" s="216"/>
      <c r="R29" s="216"/>
      <c r="S29" s="216"/>
      <c r="T29" s="216"/>
    </row>
    <row r="30" spans="6:20" x14ac:dyDescent="0.25">
      <c r="F30" s="216"/>
      <c r="G30" s="216"/>
      <c r="H30" s="216"/>
      <c r="I30" s="216"/>
      <c r="J30" s="216"/>
      <c r="K30" s="216"/>
      <c r="L30" s="216"/>
      <c r="M30" s="216"/>
      <c r="N30" s="216"/>
      <c r="O30" s="216"/>
      <c r="P30" s="216"/>
      <c r="Q30" s="216"/>
      <c r="R30" s="216"/>
      <c r="S30" s="216"/>
      <c r="T30" s="216"/>
    </row>
    <row r="31" spans="6:20" x14ac:dyDescent="0.25">
      <c r="F31" s="216"/>
      <c r="G31" s="216"/>
      <c r="H31" s="216"/>
      <c r="I31" s="216"/>
      <c r="J31" s="216"/>
      <c r="K31" s="216"/>
      <c r="L31" s="216"/>
      <c r="M31" s="216"/>
      <c r="N31" s="216"/>
      <c r="O31" s="216"/>
      <c r="P31" s="216"/>
      <c r="Q31" s="216"/>
      <c r="R31" s="216"/>
      <c r="S31" s="216"/>
      <c r="T31" s="216"/>
    </row>
    <row r="32" spans="6:20" x14ac:dyDescent="0.25">
      <c r="F32" s="216"/>
      <c r="G32" s="216"/>
      <c r="H32" s="216"/>
      <c r="I32" s="216"/>
      <c r="J32" s="216"/>
      <c r="K32" s="216"/>
      <c r="L32" s="216"/>
      <c r="M32" s="216"/>
      <c r="N32" s="216"/>
      <c r="O32" s="216"/>
      <c r="P32" s="216"/>
      <c r="Q32" s="216"/>
      <c r="R32" s="216"/>
      <c r="S32" s="216"/>
      <c r="T32" s="216"/>
    </row>
    <row r="33" spans="6:20" x14ac:dyDescent="0.25">
      <c r="F33" s="216"/>
      <c r="G33" s="216"/>
      <c r="H33" s="216"/>
      <c r="I33" s="216"/>
      <c r="J33" s="216"/>
      <c r="K33" s="216"/>
      <c r="L33" s="216"/>
      <c r="M33" s="216"/>
      <c r="N33" s="216"/>
      <c r="O33" s="216"/>
      <c r="P33" s="216"/>
      <c r="Q33" s="216"/>
      <c r="R33" s="216"/>
      <c r="S33" s="216"/>
      <c r="T33" s="216"/>
    </row>
    <row r="34" spans="6:20" x14ac:dyDescent="0.25">
      <c r="F34" s="216"/>
      <c r="G34" s="216"/>
      <c r="H34" s="216"/>
      <c r="I34" s="216"/>
      <c r="J34" s="216"/>
      <c r="K34" s="216"/>
      <c r="L34" s="216"/>
      <c r="M34" s="216"/>
      <c r="N34" s="216"/>
      <c r="O34" s="216"/>
      <c r="P34" s="216"/>
      <c r="Q34" s="216"/>
      <c r="R34" s="216"/>
      <c r="S34" s="216"/>
      <c r="T34" s="216"/>
    </row>
    <row r="35" spans="6:20" x14ac:dyDescent="0.25">
      <c r="F35" s="216"/>
      <c r="G35" s="216"/>
      <c r="H35" s="216"/>
      <c r="I35" s="216"/>
      <c r="J35" s="216"/>
      <c r="K35" s="216"/>
      <c r="L35" s="216"/>
      <c r="M35" s="216"/>
      <c r="N35" s="216"/>
      <c r="O35" s="216"/>
      <c r="P35" s="216"/>
      <c r="Q35" s="216"/>
      <c r="R35" s="216"/>
      <c r="S35" s="216"/>
      <c r="T35" s="216"/>
    </row>
    <row r="36" spans="6:20" x14ac:dyDescent="0.25">
      <c r="F36" s="216"/>
      <c r="G36" s="216"/>
      <c r="H36" s="216"/>
      <c r="I36" s="216"/>
      <c r="J36" s="216"/>
      <c r="K36" s="216"/>
      <c r="L36" s="216"/>
      <c r="M36" s="216"/>
      <c r="N36" s="216"/>
      <c r="O36" s="216"/>
      <c r="P36" s="216"/>
      <c r="Q36" s="216"/>
      <c r="R36" s="216"/>
      <c r="S36" s="216"/>
      <c r="T36" s="216"/>
    </row>
    <row r="42" spans="6:20" x14ac:dyDescent="0.25">
      <c r="F42" s="228" t="s">
        <v>539</v>
      </c>
      <c r="G42" s="229" t="s">
        <v>540</v>
      </c>
      <c r="H42" s="230" t="s">
        <v>541</v>
      </c>
    </row>
    <row r="43" spans="6:20" ht="16.5" x14ac:dyDescent="0.35">
      <c r="F43" s="231" t="s">
        <v>542</v>
      </c>
      <c r="G43" s="231" t="s">
        <v>543</v>
      </c>
      <c r="H43" s="231" t="s">
        <v>544</v>
      </c>
    </row>
    <row r="44" spans="6:20" ht="16.5" x14ac:dyDescent="0.35">
      <c r="F44" s="231" t="s">
        <v>545</v>
      </c>
      <c r="G44" s="232" t="s">
        <v>546</v>
      </c>
      <c r="H44" s="232" t="s">
        <v>547</v>
      </c>
      <c r="I44" s="233">
        <v>0.50780000000000003</v>
      </c>
    </row>
    <row r="45" spans="6:20" x14ac:dyDescent="0.25">
      <c r="I45" s="215">
        <f>I44*0.9</f>
        <v>0.45702000000000004</v>
      </c>
      <c r="J45" s="215">
        <f>I44*1.1</f>
        <v>0.55858000000000008</v>
      </c>
    </row>
  </sheetData>
  <mergeCells count="21">
    <mergeCell ref="S18:S19"/>
    <mergeCell ref="J19:J26"/>
    <mergeCell ref="K25:K26"/>
    <mergeCell ref="S21:S22"/>
    <mergeCell ref="S24:S25"/>
    <mergeCell ref="Q21:Q22"/>
    <mergeCell ref="O24:O25"/>
    <mergeCell ref="M23:M24"/>
    <mergeCell ref="O21:O22"/>
    <mergeCell ref="K21:K22"/>
    <mergeCell ref="O18:O19"/>
    <mergeCell ref="I1:R1"/>
    <mergeCell ref="H4:K4"/>
    <mergeCell ref="M4:M5"/>
    <mergeCell ref="O7:O8"/>
    <mergeCell ref="K10:K11"/>
    <mergeCell ref="G15:G16"/>
    <mergeCell ref="I15:I16"/>
    <mergeCell ref="M16:M17"/>
    <mergeCell ref="M10:M11"/>
    <mergeCell ref="M13:M14"/>
  </mergeCells>
  <conditionalFormatting sqref="M13:M14">
    <cfRule type="cellIs" dxfId="8" priority="13" stopIfTrue="1" operator="lessThan">
      <formula>0.0246</formula>
    </cfRule>
    <cfRule type="cellIs" dxfId="7" priority="14" stopIfTrue="1" operator="between">
      <formula>0.0301</formula>
      <formula>0.0246</formula>
    </cfRule>
    <cfRule type="cellIs" dxfId="6" priority="15" stopIfTrue="1" operator="greaterThan">
      <formula>0.0301</formula>
    </cfRule>
  </conditionalFormatting>
  <pageMargins left="0.70866141732283472" right="0.70866141732283472" top="0.74803149606299213" bottom="0.74803149606299213" header="0.31496062992125984" footer="0.31496062992125984"/>
  <pageSetup scale="6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5">
    <pageSetUpPr fitToPage="1"/>
  </sheetPr>
  <dimension ref="F1:T45"/>
  <sheetViews>
    <sheetView showGridLines="0" topLeftCell="H4" zoomScale="90" zoomScaleNormal="90" workbookViewId="0">
      <selection activeCell="F1" sqref="F1:T36"/>
    </sheetView>
  </sheetViews>
  <sheetFormatPr baseColWidth="10" defaultColWidth="10.88671875" defaultRowHeight="15" x14ac:dyDescent="0.25"/>
  <cols>
    <col min="1" max="5" width="10.88671875" style="215"/>
    <col min="6" max="6" width="13.77734375" style="215" customWidth="1"/>
    <col min="7" max="7" width="13.109375" style="215" customWidth="1"/>
    <col min="8" max="8" width="4.77734375" style="215" customWidth="1"/>
    <col min="9" max="9" width="13" style="215" customWidth="1"/>
    <col min="10" max="10" width="4.6640625" style="215" customWidth="1"/>
    <col min="11" max="11" width="12" style="215" customWidth="1"/>
    <col min="12" max="12" width="5.5546875" style="215" customWidth="1"/>
    <col min="13" max="13" width="15.44140625" style="215" customWidth="1"/>
    <col min="14" max="14" width="6.21875" style="215" customWidth="1"/>
    <col min="15" max="15" width="12.33203125" style="215" customWidth="1"/>
    <col min="16" max="16" width="5.44140625" style="215" customWidth="1"/>
    <col min="17" max="17" width="12.6640625" style="215" customWidth="1"/>
    <col min="18" max="18" width="4.33203125" style="215" customWidth="1"/>
    <col min="19" max="19" width="12.33203125" style="215" customWidth="1"/>
    <col min="20" max="16384" width="10.88671875" style="215"/>
  </cols>
  <sheetData>
    <row r="1" spans="6:20" ht="23.25" x14ac:dyDescent="0.35">
      <c r="I1" s="1208" t="s">
        <v>521</v>
      </c>
      <c r="J1" s="1208"/>
      <c r="K1" s="1208"/>
      <c r="L1" s="1208"/>
      <c r="M1" s="1208"/>
      <c r="N1" s="1208"/>
      <c r="O1" s="1208"/>
      <c r="P1" s="1208"/>
      <c r="Q1" s="1208"/>
      <c r="R1" s="1208"/>
    </row>
    <row r="3" spans="6:20" ht="15.75" thickBot="1" x14ac:dyDescent="0.3">
      <c r="F3" s="216"/>
      <c r="G3" s="216"/>
      <c r="H3" s="216"/>
      <c r="I3" s="216"/>
      <c r="J3" s="216"/>
      <c r="K3" s="216"/>
      <c r="L3" s="216"/>
      <c r="M3" s="217" t="s">
        <v>522</v>
      </c>
      <c r="N3" s="216"/>
      <c r="O3" s="216"/>
      <c r="P3" s="216"/>
      <c r="Q3" s="216"/>
      <c r="R3" s="216"/>
      <c r="S3" s="216"/>
      <c r="T3" s="216"/>
    </row>
    <row r="4" spans="6:20" ht="15.75" x14ac:dyDescent="0.25">
      <c r="F4" s="216"/>
      <c r="G4" s="218"/>
      <c r="H4" s="1209"/>
      <c r="I4" s="1209"/>
      <c r="J4" s="1209"/>
      <c r="K4" s="1209"/>
      <c r="L4" s="216"/>
      <c r="M4" s="1204">
        <f>'Indicadores (2)'!G14</f>
        <v>2.3989379379441407</v>
      </c>
      <c r="N4" s="216"/>
      <c r="O4" s="216"/>
      <c r="P4" s="216"/>
      <c r="Q4" s="216"/>
      <c r="R4" s="216"/>
      <c r="S4" s="216"/>
      <c r="T4" s="216"/>
    </row>
    <row r="5" spans="6:20" ht="16.5" thickBot="1" x14ac:dyDescent="0.3">
      <c r="F5" s="216"/>
      <c r="G5" s="218"/>
      <c r="H5" s="219"/>
      <c r="I5" s="220"/>
      <c r="J5" s="216"/>
      <c r="K5" s="221"/>
      <c r="L5" s="216"/>
      <c r="M5" s="1205"/>
      <c r="N5" s="216"/>
      <c r="O5" s="216"/>
      <c r="P5" s="216"/>
      <c r="Q5" s="216"/>
      <c r="R5" s="216"/>
      <c r="S5" s="216"/>
      <c r="T5" s="216"/>
    </row>
    <row r="6" spans="6:20" ht="14.45" customHeight="1" thickBot="1" x14ac:dyDescent="0.3">
      <c r="F6" s="216"/>
      <c r="G6" s="216"/>
      <c r="H6" s="216"/>
      <c r="I6" s="216"/>
      <c r="J6" s="216"/>
      <c r="K6" s="216"/>
      <c r="L6" s="216"/>
      <c r="M6" s="216"/>
      <c r="N6" s="216"/>
      <c r="O6" s="217" t="s">
        <v>523</v>
      </c>
      <c r="P6" s="216"/>
      <c r="Q6" s="216"/>
      <c r="R6" s="216"/>
      <c r="S6" s="216"/>
      <c r="T6" s="216"/>
    </row>
    <row r="7" spans="6:20" ht="15" customHeight="1" x14ac:dyDescent="0.25">
      <c r="F7" s="216"/>
      <c r="G7" s="216"/>
      <c r="H7" s="216"/>
      <c r="I7" s="216"/>
      <c r="J7" s="216"/>
      <c r="K7" s="218"/>
      <c r="L7" s="216"/>
      <c r="M7" s="216"/>
      <c r="N7" s="216"/>
      <c r="O7" s="1204">
        <f>'Indicadores (2)'!G13</f>
        <v>1.1697937730113548E-2</v>
      </c>
      <c r="P7" s="216"/>
      <c r="Q7" s="216"/>
      <c r="R7" s="216"/>
      <c r="S7" s="216"/>
      <c r="T7" s="216"/>
    </row>
    <row r="8" spans="6:20" ht="15" customHeight="1" thickBot="1" x14ac:dyDescent="0.3">
      <c r="F8" s="216"/>
      <c r="G8" s="216"/>
      <c r="H8" s="216"/>
      <c r="I8" s="216"/>
      <c r="J8" s="216"/>
      <c r="K8" s="218"/>
      <c r="L8" s="216"/>
      <c r="M8" s="216"/>
      <c r="N8" s="216"/>
      <c r="O8" s="1205"/>
      <c r="P8" s="216"/>
      <c r="Q8" s="216"/>
      <c r="R8" s="216"/>
      <c r="S8" s="216"/>
      <c r="T8" s="216"/>
    </row>
    <row r="9" spans="6:20" ht="28.9" customHeight="1" thickBot="1" x14ac:dyDescent="0.3">
      <c r="F9" s="216"/>
      <c r="G9" s="216"/>
      <c r="H9" s="216"/>
      <c r="I9" s="216"/>
      <c r="J9" s="216"/>
      <c r="K9" s="222" t="s">
        <v>524</v>
      </c>
      <c r="L9" s="216"/>
      <c r="M9" s="217" t="s">
        <v>525</v>
      </c>
      <c r="N9" s="216"/>
      <c r="O9" s="216"/>
      <c r="P9" s="216"/>
      <c r="Q9" s="216"/>
      <c r="R9" s="216"/>
      <c r="S9" s="216"/>
      <c r="T9" s="216"/>
    </row>
    <row r="10" spans="6:20" ht="15.6" customHeight="1" x14ac:dyDescent="0.25">
      <c r="F10" s="216"/>
      <c r="G10" s="216"/>
      <c r="H10" s="216"/>
      <c r="I10" s="216"/>
      <c r="J10" s="216"/>
      <c r="K10" s="1204" t="e">
        <f>'PYGCOM-CON AÑO ANTERIOR '!D92</f>
        <v>#REF!</v>
      </c>
      <c r="L10" s="216"/>
      <c r="M10" s="1204">
        <f>'Indicadores (2)'!G15</f>
        <v>1.1526499392775637E-2</v>
      </c>
      <c r="N10" s="216"/>
      <c r="O10" s="216"/>
      <c r="P10" s="216"/>
      <c r="Q10" s="216"/>
      <c r="R10" s="216"/>
      <c r="S10" s="216"/>
      <c r="T10" s="216"/>
    </row>
    <row r="11" spans="6:20" ht="15.6" customHeight="1" thickBot="1" x14ac:dyDescent="0.3">
      <c r="F11" s="216"/>
      <c r="G11" s="216"/>
      <c r="H11" s="216"/>
      <c r="I11" s="216"/>
      <c r="J11" s="216"/>
      <c r="K11" s="1205"/>
      <c r="L11" s="216"/>
      <c r="M11" s="1205"/>
      <c r="N11" s="216"/>
      <c r="O11" s="216"/>
      <c r="P11" s="216"/>
      <c r="Q11" s="216"/>
      <c r="R11" s="216"/>
      <c r="S11" s="216"/>
      <c r="T11" s="216"/>
    </row>
    <row r="12" spans="6:20" ht="16.5" thickBot="1" x14ac:dyDescent="0.3">
      <c r="F12" s="216"/>
      <c r="G12" s="216"/>
      <c r="H12" s="216"/>
      <c r="I12" s="216"/>
      <c r="J12" s="216"/>
      <c r="K12" s="218"/>
      <c r="L12" s="216"/>
      <c r="M12" s="217" t="s">
        <v>526</v>
      </c>
      <c r="N12" s="216"/>
      <c r="O12" s="216"/>
      <c r="P12" s="216"/>
      <c r="Q12" s="216"/>
      <c r="R12" s="216"/>
      <c r="S12" s="216"/>
      <c r="T12" s="216"/>
    </row>
    <row r="13" spans="6:20" ht="16.5" thickTop="1" x14ac:dyDescent="0.25">
      <c r="F13" s="216"/>
      <c r="G13" s="216"/>
      <c r="H13" s="216"/>
      <c r="I13" s="216"/>
      <c r="J13" s="216"/>
      <c r="K13" s="218"/>
      <c r="L13" s="216"/>
      <c r="M13" s="1206">
        <f>'PYGCOM-CON AÑO ANTERIOR '!D19</f>
        <v>0.44080461425523965</v>
      </c>
      <c r="N13" s="216"/>
      <c r="O13" s="216"/>
      <c r="P13" s="216"/>
      <c r="Q13" s="216"/>
      <c r="R13" s="216"/>
      <c r="S13" s="216"/>
      <c r="T13" s="216"/>
    </row>
    <row r="14" spans="6:20" ht="15.75" thickBot="1" x14ac:dyDescent="0.3">
      <c r="F14" s="216"/>
      <c r="G14" s="217" t="s">
        <v>527</v>
      </c>
      <c r="H14" s="216"/>
      <c r="I14" s="217" t="s">
        <v>528</v>
      </c>
      <c r="J14" s="216"/>
      <c r="K14" s="216"/>
      <c r="L14" s="216"/>
      <c r="M14" s="1207"/>
      <c r="N14" s="216"/>
      <c r="O14" s="216"/>
      <c r="P14" s="216"/>
      <c r="Q14" s="216"/>
      <c r="R14" s="216"/>
      <c r="S14" s="216"/>
      <c r="T14" s="216"/>
    </row>
    <row r="15" spans="6:20" ht="15" customHeight="1" thickTop="1" thickBot="1" x14ac:dyDescent="0.3">
      <c r="F15" s="216"/>
      <c r="G15" s="1202" t="e">
        <f>'Indicadores (2)'!G24</f>
        <v>#REF!</v>
      </c>
      <c r="H15" s="216"/>
      <c r="I15" s="1204">
        <f>'Indicadores (2)'!G29</f>
        <v>9.3971019134788419E-2</v>
      </c>
      <c r="J15" s="216"/>
      <c r="K15" s="216"/>
      <c r="L15" s="216"/>
      <c r="M15" s="217" t="s">
        <v>529</v>
      </c>
      <c r="N15" s="216"/>
      <c r="O15" s="216"/>
      <c r="P15" s="216"/>
      <c r="Q15" s="216"/>
      <c r="R15" s="216"/>
      <c r="S15" s="216"/>
      <c r="T15" s="216"/>
    </row>
    <row r="16" spans="6:20" ht="16.5" thickBot="1" x14ac:dyDescent="0.3">
      <c r="F16" s="218"/>
      <c r="G16" s="1203"/>
      <c r="H16" s="218"/>
      <c r="I16" s="1205"/>
      <c r="J16" s="216"/>
      <c r="K16" s="216"/>
      <c r="L16" s="216"/>
      <c r="M16" s="1204" t="e">
        <f>'PYGCOM-CON AÑO ANTERIOR '!D91+'PYGCOM-CON AÑO ANTERIOR '!D41</f>
        <v>#REF!</v>
      </c>
      <c r="N16" s="216"/>
      <c r="O16" s="216"/>
      <c r="P16" s="216"/>
      <c r="Q16" s="216"/>
      <c r="R16" s="216"/>
      <c r="S16" s="216"/>
      <c r="T16" s="216"/>
    </row>
    <row r="17" spans="6:20" ht="15" customHeight="1" thickBot="1" x14ac:dyDescent="0.3">
      <c r="F17" s="216"/>
      <c r="G17" s="223"/>
      <c r="H17" s="216"/>
      <c r="I17" s="216"/>
      <c r="J17" s="216"/>
      <c r="K17" s="216"/>
      <c r="L17" s="216"/>
      <c r="M17" s="1205"/>
      <c r="N17" s="216"/>
      <c r="O17" s="217" t="s">
        <v>530</v>
      </c>
      <c r="P17" s="216"/>
      <c r="Q17" s="216"/>
      <c r="R17" s="216"/>
      <c r="S17" s="217" t="s">
        <v>531</v>
      </c>
      <c r="T17" s="216"/>
    </row>
    <row r="18" spans="6:20" ht="15" customHeight="1" x14ac:dyDescent="0.25">
      <c r="F18" s="216"/>
      <c r="G18" s="216"/>
      <c r="H18" s="216"/>
      <c r="I18" s="216"/>
      <c r="J18" s="216"/>
      <c r="K18" s="224"/>
      <c r="L18" s="216"/>
      <c r="M18" s="225"/>
      <c r="N18" s="216"/>
      <c r="O18" s="1211">
        <v>0.52190000000000003</v>
      </c>
      <c r="P18" s="216"/>
      <c r="Q18" s="216"/>
      <c r="R18" s="216"/>
      <c r="S18" s="1211">
        <v>0.78559999999999997</v>
      </c>
      <c r="T18" s="216"/>
    </row>
    <row r="19" spans="6:20" ht="15.6" customHeight="1" thickBot="1" x14ac:dyDescent="0.3">
      <c r="F19" s="216"/>
      <c r="G19" s="216"/>
      <c r="H19" s="216"/>
      <c r="I19" s="216"/>
      <c r="J19" s="1210"/>
      <c r="K19" s="216"/>
      <c r="L19" s="218"/>
      <c r="M19" s="216"/>
      <c r="N19" s="216"/>
      <c r="O19" s="1212"/>
      <c r="P19" s="216"/>
      <c r="Q19" s="216"/>
      <c r="R19" s="216"/>
      <c r="S19" s="1212"/>
      <c r="T19" s="216"/>
    </row>
    <row r="20" spans="6:20" ht="16.5" thickBot="1" x14ac:dyDescent="0.3">
      <c r="F20" s="216"/>
      <c r="G20" s="216"/>
      <c r="H20" s="216"/>
      <c r="I20" s="216"/>
      <c r="J20" s="1210"/>
      <c r="K20" s="217" t="s">
        <v>587</v>
      </c>
      <c r="L20" s="218"/>
      <c r="M20" s="216"/>
      <c r="N20" s="216"/>
      <c r="O20" s="217" t="s">
        <v>534</v>
      </c>
      <c r="P20" s="216"/>
      <c r="Q20" s="217" t="s">
        <v>535</v>
      </c>
      <c r="R20" s="216"/>
      <c r="S20" s="217" t="s">
        <v>536</v>
      </c>
      <c r="T20" s="216"/>
    </row>
    <row r="21" spans="6:20" ht="16.149999999999999" customHeight="1" x14ac:dyDescent="0.25">
      <c r="F21" s="216"/>
      <c r="G21" s="216"/>
      <c r="H21" s="216"/>
      <c r="I21" s="226"/>
      <c r="J21" s="1210"/>
      <c r="K21" s="1204" t="e">
        <f>'EJE PRESUPUESTAL '!#REF!</f>
        <v>#REF!</v>
      </c>
      <c r="L21" s="216"/>
      <c r="M21" s="216"/>
      <c r="N21" s="216"/>
      <c r="O21" s="1211">
        <v>0.19350000000000001</v>
      </c>
      <c r="P21" s="216"/>
      <c r="Q21" s="1204">
        <f>'Indicadores (2)'!G8</f>
        <v>0.13556482104680626</v>
      </c>
      <c r="R21" s="216"/>
      <c r="S21" s="1204">
        <v>0.9866578635606561</v>
      </c>
      <c r="T21" s="216"/>
    </row>
    <row r="22" spans="6:20" ht="16.5" thickBot="1" x14ac:dyDescent="0.3">
      <c r="F22" s="216"/>
      <c r="G22" s="216"/>
      <c r="H22" s="216"/>
      <c r="I22" s="226"/>
      <c r="J22" s="1210"/>
      <c r="K22" s="1205"/>
      <c r="L22" s="216"/>
      <c r="M22" s="217" t="s">
        <v>533</v>
      </c>
      <c r="N22" s="216"/>
      <c r="O22" s="1212"/>
      <c r="P22" s="216"/>
      <c r="Q22" s="1205"/>
      <c r="R22" s="216"/>
      <c r="S22" s="1205"/>
      <c r="T22" s="216"/>
    </row>
    <row r="23" spans="6:20" ht="28.9" customHeight="1" thickBot="1" x14ac:dyDescent="0.3">
      <c r="F23" s="216"/>
      <c r="G23" s="216"/>
      <c r="H23" s="216"/>
      <c r="I23" s="216"/>
      <c r="J23" s="1210"/>
      <c r="K23" s="216"/>
      <c r="L23" s="216"/>
      <c r="M23" s="1204">
        <v>1.05</v>
      </c>
      <c r="N23" s="216"/>
      <c r="O23" s="217" t="s">
        <v>537</v>
      </c>
      <c r="P23" s="216"/>
      <c r="Q23" s="216"/>
      <c r="R23" s="216"/>
      <c r="S23" s="217" t="s">
        <v>538</v>
      </c>
      <c r="T23" s="216"/>
    </row>
    <row r="24" spans="6:20" ht="16.5" thickBot="1" x14ac:dyDescent="0.3">
      <c r="F24" s="216"/>
      <c r="G24" s="216"/>
      <c r="H24" s="216"/>
      <c r="I24" s="226"/>
      <c r="J24" s="1210"/>
      <c r="K24" s="217" t="s">
        <v>532</v>
      </c>
      <c r="L24" s="216"/>
      <c r="M24" s="1205"/>
      <c r="N24" s="216"/>
      <c r="O24" s="1204">
        <f>'Indicadores (2)'!G39</f>
        <v>2.1770630055249849E-2</v>
      </c>
      <c r="P24" s="216"/>
      <c r="Q24" s="216"/>
      <c r="R24" s="216"/>
      <c r="S24" s="1204">
        <v>1.6329475445459847</v>
      </c>
      <c r="T24" s="216"/>
    </row>
    <row r="25" spans="6:20" ht="16.5" thickBot="1" x14ac:dyDescent="0.3">
      <c r="F25" s="216"/>
      <c r="G25" s="216"/>
      <c r="H25" s="216"/>
      <c r="I25" s="226"/>
      <c r="J25" s="1210"/>
      <c r="K25" s="1204">
        <v>1.0438531953140575</v>
      </c>
      <c r="L25" s="216"/>
      <c r="M25" s="216"/>
      <c r="N25" s="216"/>
      <c r="O25" s="1205"/>
      <c r="P25" s="216"/>
      <c r="Q25" s="216"/>
      <c r="R25" s="216"/>
      <c r="S25" s="1205"/>
      <c r="T25" s="216"/>
    </row>
    <row r="26" spans="6:20" ht="15.75" thickBot="1" x14ac:dyDescent="0.3">
      <c r="F26" s="216"/>
      <c r="G26" s="216"/>
      <c r="H26" s="216"/>
      <c r="I26" s="227"/>
      <c r="J26" s="1210"/>
      <c r="K26" s="1205"/>
      <c r="L26" s="216"/>
      <c r="M26" s="216"/>
      <c r="N26" s="216"/>
      <c r="O26" s="216"/>
      <c r="P26" s="216"/>
      <c r="Q26" s="216"/>
      <c r="R26" s="216"/>
      <c r="S26" s="216"/>
      <c r="T26" s="216"/>
    </row>
    <row r="27" spans="6:20" ht="15.75" x14ac:dyDescent="0.25">
      <c r="F27" s="216"/>
      <c r="G27" s="216"/>
      <c r="H27" s="216"/>
      <c r="I27" s="226"/>
      <c r="J27" s="216"/>
      <c r="K27" s="216"/>
      <c r="L27" s="216"/>
      <c r="M27" s="216"/>
      <c r="N27" s="216"/>
      <c r="O27" s="216"/>
      <c r="P27" s="216"/>
      <c r="Q27" s="216"/>
      <c r="R27" s="216"/>
      <c r="S27" s="216"/>
      <c r="T27" s="216"/>
    </row>
    <row r="28" spans="6:20" ht="15.75" x14ac:dyDescent="0.25">
      <c r="F28" s="216"/>
      <c r="G28" s="216"/>
      <c r="H28" s="216"/>
      <c r="I28" s="226"/>
      <c r="J28" s="216"/>
      <c r="K28" s="216"/>
      <c r="L28" s="216"/>
      <c r="M28" s="216"/>
      <c r="N28" s="216"/>
      <c r="O28" s="216"/>
      <c r="P28" s="216"/>
      <c r="Q28" s="216"/>
      <c r="R28" s="216"/>
      <c r="S28" s="216"/>
      <c r="T28" s="216"/>
    </row>
    <row r="29" spans="6:20" x14ac:dyDescent="0.25">
      <c r="F29" s="216"/>
      <c r="G29" s="216"/>
      <c r="H29" s="216"/>
      <c r="I29" s="216"/>
      <c r="J29" s="216"/>
      <c r="K29" s="216"/>
      <c r="L29" s="216"/>
      <c r="M29" s="216"/>
      <c r="N29" s="216"/>
      <c r="O29" s="216"/>
      <c r="P29" s="216"/>
      <c r="Q29" s="216"/>
      <c r="R29" s="216"/>
      <c r="S29" s="216"/>
      <c r="T29" s="216"/>
    </row>
    <row r="30" spans="6:20" x14ac:dyDescent="0.25">
      <c r="F30" s="216"/>
      <c r="G30" s="216"/>
      <c r="H30" s="216"/>
      <c r="I30" s="216"/>
      <c r="J30" s="216"/>
      <c r="K30" s="216"/>
      <c r="L30" s="216"/>
      <c r="M30" s="216"/>
      <c r="N30" s="216"/>
      <c r="O30" s="216"/>
      <c r="P30" s="216"/>
      <c r="Q30" s="216"/>
      <c r="R30" s="216"/>
      <c r="S30" s="216"/>
      <c r="T30" s="216"/>
    </row>
    <row r="31" spans="6:20" x14ac:dyDescent="0.25">
      <c r="F31" s="216"/>
      <c r="G31" s="216"/>
      <c r="H31" s="216"/>
      <c r="I31" s="216"/>
      <c r="J31" s="216"/>
      <c r="K31" s="216"/>
      <c r="L31" s="216"/>
      <c r="M31" s="216"/>
      <c r="N31" s="216"/>
      <c r="O31" s="216"/>
      <c r="P31" s="216"/>
      <c r="Q31" s="216"/>
      <c r="R31" s="216"/>
      <c r="S31" s="216"/>
      <c r="T31" s="216"/>
    </row>
    <row r="32" spans="6:20" x14ac:dyDescent="0.25">
      <c r="F32" s="216"/>
      <c r="G32" s="216"/>
      <c r="H32" s="216"/>
      <c r="I32" s="216"/>
      <c r="J32" s="216"/>
      <c r="K32" s="216"/>
      <c r="L32" s="216"/>
      <c r="M32" s="216"/>
      <c r="N32" s="216"/>
      <c r="O32" s="216"/>
      <c r="P32" s="216"/>
      <c r="Q32" s="216"/>
      <c r="R32" s="216"/>
      <c r="S32" s="216"/>
      <c r="T32" s="216"/>
    </row>
    <row r="33" spans="6:20" x14ac:dyDescent="0.25">
      <c r="F33" s="216"/>
      <c r="G33" s="216"/>
      <c r="H33" s="216"/>
      <c r="I33" s="216"/>
      <c r="J33" s="216"/>
      <c r="K33" s="216"/>
      <c r="L33" s="216"/>
      <c r="M33" s="216"/>
      <c r="N33" s="216"/>
      <c r="O33" s="216"/>
      <c r="P33" s="216"/>
      <c r="Q33" s="216"/>
      <c r="R33" s="216"/>
      <c r="S33" s="216"/>
      <c r="T33" s="216"/>
    </row>
    <row r="34" spans="6:20" x14ac:dyDescent="0.25">
      <c r="F34" s="216"/>
      <c r="G34" s="216"/>
      <c r="H34" s="216"/>
      <c r="I34" s="216"/>
      <c r="J34" s="216"/>
      <c r="K34" s="216"/>
      <c r="L34" s="216"/>
      <c r="M34" s="216"/>
      <c r="N34" s="216"/>
      <c r="O34" s="216"/>
      <c r="P34" s="216"/>
      <c r="Q34" s="216"/>
      <c r="R34" s="216"/>
      <c r="S34" s="216"/>
      <c r="T34" s="216"/>
    </row>
    <row r="35" spans="6:20" x14ac:dyDescent="0.25">
      <c r="F35" s="216"/>
      <c r="G35" s="216"/>
      <c r="H35" s="216"/>
      <c r="I35" s="216"/>
      <c r="J35" s="216"/>
      <c r="K35" s="216"/>
      <c r="L35" s="216"/>
      <c r="M35" s="216"/>
      <c r="N35" s="216"/>
      <c r="O35" s="216"/>
      <c r="P35" s="216"/>
      <c r="Q35" s="216"/>
      <c r="R35" s="216"/>
      <c r="S35" s="216"/>
      <c r="T35" s="216"/>
    </row>
    <row r="36" spans="6:20" x14ac:dyDescent="0.25">
      <c r="F36" s="216"/>
      <c r="G36" s="216"/>
      <c r="H36" s="216"/>
      <c r="I36" s="216"/>
      <c r="J36" s="216"/>
      <c r="K36" s="216"/>
      <c r="L36" s="216"/>
      <c r="M36" s="216"/>
      <c r="N36" s="216"/>
      <c r="O36" s="216"/>
      <c r="P36" s="216"/>
      <c r="Q36" s="216"/>
      <c r="R36" s="216"/>
      <c r="S36" s="216"/>
      <c r="T36" s="216"/>
    </row>
    <row r="42" spans="6:20" x14ac:dyDescent="0.25">
      <c r="F42" s="228" t="s">
        <v>539</v>
      </c>
      <c r="G42" s="229" t="s">
        <v>540</v>
      </c>
      <c r="H42" s="230" t="s">
        <v>541</v>
      </c>
    </row>
    <row r="43" spans="6:20" ht="16.5" x14ac:dyDescent="0.35">
      <c r="F43" s="231" t="s">
        <v>542</v>
      </c>
      <c r="G43" s="231" t="s">
        <v>543</v>
      </c>
      <c r="H43" s="231" t="s">
        <v>544</v>
      </c>
    </row>
    <row r="44" spans="6:20" ht="16.5" x14ac:dyDescent="0.35">
      <c r="F44" s="231" t="s">
        <v>545</v>
      </c>
      <c r="G44" s="232" t="s">
        <v>546</v>
      </c>
      <c r="H44" s="232" t="s">
        <v>547</v>
      </c>
      <c r="I44" s="233">
        <v>0.50780000000000003</v>
      </c>
    </row>
    <row r="45" spans="6:20" x14ac:dyDescent="0.25">
      <c r="I45" s="215">
        <f>I44*0.9</f>
        <v>0.45702000000000004</v>
      </c>
      <c r="J45" s="215">
        <f>I44*1.1</f>
        <v>0.55858000000000008</v>
      </c>
    </row>
  </sheetData>
  <mergeCells count="21">
    <mergeCell ref="G15:G16"/>
    <mergeCell ref="I15:I16"/>
    <mergeCell ref="M16:M17"/>
    <mergeCell ref="M10:M11"/>
    <mergeCell ref="M13:M14"/>
    <mergeCell ref="I1:R1"/>
    <mergeCell ref="H4:K4"/>
    <mergeCell ref="M4:M5"/>
    <mergeCell ref="O7:O8"/>
    <mergeCell ref="K10:K11"/>
    <mergeCell ref="S18:S19"/>
    <mergeCell ref="J19:J26"/>
    <mergeCell ref="K21:K22"/>
    <mergeCell ref="S21:S22"/>
    <mergeCell ref="S24:S25"/>
    <mergeCell ref="O24:O25"/>
    <mergeCell ref="K25:K26"/>
    <mergeCell ref="Q21:Q22"/>
    <mergeCell ref="O21:O22"/>
    <mergeCell ref="O18:O19"/>
    <mergeCell ref="M23:M24"/>
  </mergeCells>
  <conditionalFormatting sqref="M13:M14">
    <cfRule type="cellIs" dxfId="5" priority="1" stopIfTrue="1" operator="lessThan">
      <formula>0.0246</formula>
    </cfRule>
    <cfRule type="cellIs" dxfId="4" priority="2" stopIfTrue="1" operator="between">
      <formula>0.0301</formula>
      <formula>0.0246</formula>
    </cfRule>
    <cfRule type="cellIs" dxfId="3" priority="3" stopIfTrue="1" operator="greaterThan">
      <formula>0.0301</formula>
    </cfRule>
  </conditionalFormatting>
  <pageMargins left="0.70866141732283472" right="0.70866141732283472" top="0.74803149606299213" bottom="0.74803149606299213" header="0.31496062992125984" footer="0.31496062992125984"/>
  <pageSetup scale="6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6"/>
  <dimension ref="A1:V56"/>
  <sheetViews>
    <sheetView zoomScale="98" zoomScaleNormal="98" workbookViewId="0">
      <selection activeCell="G26" sqref="G26"/>
    </sheetView>
  </sheetViews>
  <sheetFormatPr baseColWidth="10" defaultRowHeight="11.25" x14ac:dyDescent="0.2"/>
  <cols>
    <col min="1" max="1" width="13.77734375" style="97" customWidth="1"/>
    <col min="2" max="2" width="9.109375" style="97" customWidth="1"/>
    <col min="3" max="3" width="9.21875" style="97" customWidth="1"/>
    <col min="4" max="4" width="7" style="97" customWidth="1"/>
    <col min="5" max="5" width="8.21875" style="97" customWidth="1"/>
    <col min="6" max="6" width="1.21875" style="97" customWidth="1"/>
    <col min="7" max="7" width="6.109375" style="98" customWidth="1"/>
    <col min="8" max="8" width="7.88671875" style="98" bestFit="1" customWidth="1"/>
    <col min="9" max="9" width="6.109375" style="98" customWidth="1"/>
    <col min="10" max="10" width="7" style="98" customWidth="1"/>
    <col min="11" max="11" width="6.109375" style="98" customWidth="1"/>
    <col min="12" max="12" width="7.88671875" style="97" bestFit="1" customWidth="1"/>
    <col min="13" max="13" width="5.77734375" style="97" hidden="1" customWidth="1"/>
    <col min="14" max="14" width="5.33203125" style="97" hidden="1" customWidth="1"/>
    <col min="15" max="15" width="4.88671875" style="97" hidden="1" customWidth="1"/>
    <col min="16" max="16" width="7.88671875" style="97" bestFit="1" customWidth="1"/>
    <col min="17" max="17" width="40.77734375" style="97" customWidth="1"/>
    <col min="18" max="16384" width="11.5546875" style="97"/>
  </cols>
  <sheetData>
    <row r="1" spans="1:18" ht="12" thickBot="1" x14ac:dyDescent="0.25"/>
    <row r="2" spans="1:18" ht="15" customHeight="1" thickBot="1" x14ac:dyDescent="0.35">
      <c r="A2" s="1213" t="s">
        <v>1016</v>
      </c>
      <c r="B2" s="1214"/>
      <c r="C2" s="1214"/>
      <c r="D2" s="1214"/>
      <c r="E2" s="1214"/>
      <c r="F2" s="1214"/>
      <c r="G2" s="1214"/>
      <c r="H2" s="1214"/>
      <c r="I2" s="1214"/>
      <c r="J2" s="1214"/>
      <c r="K2" s="1214"/>
      <c r="L2" s="1214"/>
      <c r="M2" s="1214"/>
      <c r="N2" s="1214"/>
      <c r="O2" s="1214"/>
      <c r="P2" s="1215"/>
      <c r="Q2" s="572"/>
    </row>
    <row r="3" spans="1:18" ht="47.25" customHeight="1" x14ac:dyDescent="0.2">
      <c r="A3" s="419" t="s">
        <v>452</v>
      </c>
      <c r="B3" s="1224" t="s">
        <v>1040</v>
      </c>
      <c r="C3" s="1225"/>
      <c r="D3" s="1225"/>
      <c r="E3" s="1225"/>
      <c r="F3" s="1225"/>
      <c r="G3" s="1225"/>
      <c r="H3" s="1225"/>
      <c r="I3" s="1225"/>
      <c r="J3" s="1225"/>
      <c r="K3" s="1225"/>
      <c r="L3" s="1225"/>
      <c r="M3" s="1225"/>
      <c r="N3" s="1225"/>
      <c r="O3" s="1225"/>
      <c r="P3" s="1226"/>
    </row>
    <row r="4" spans="1:18" ht="6" customHeight="1" x14ac:dyDescent="0.2">
      <c r="A4" s="100"/>
      <c r="F4" s="101"/>
    </row>
    <row r="5" spans="1:18" ht="27.75" x14ac:dyDescent="0.3">
      <c r="A5" s="121"/>
      <c r="B5" s="1220" t="s">
        <v>409</v>
      </c>
      <c r="C5" s="1221"/>
      <c r="D5" s="1222"/>
      <c r="E5" s="586" t="s">
        <v>1015</v>
      </c>
      <c r="F5" s="102"/>
      <c r="G5" s="1219" t="s">
        <v>116</v>
      </c>
      <c r="H5" s="1219"/>
      <c r="I5" s="1219"/>
      <c r="J5" s="1219"/>
      <c r="K5" s="1219"/>
      <c r="L5" s="1219"/>
      <c r="M5" s="1219"/>
      <c r="N5" s="1219"/>
      <c r="O5" s="1219"/>
      <c r="P5" s="1219"/>
    </row>
    <row r="6" spans="1:18" ht="31.5" x14ac:dyDescent="0.3">
      <c r="A6" s="121" t="s">
        <v>131</v>
      </c>
      <c r="B6" s="608" t="s">
        <v>128</v>
      </c>
      <c r="C6" s="609" t="s">
        <v>129</v>
      </c>
      <c r="D6" s="610" t="s">
        <v>539</v>
      </c>
      <c r="E6" s="581" t="s">
        <v>1014</v>
      </c>
      <c r="F6" s="106"/>
      <c r="G6" s="582">
        <v>42156</v>
      </c>
      <c r="H6" s="582">
        <v>42125</v>
      </c>
      <c r="I6" s="583">
        <v>42095</v>
      </c>
      <c r="J6" s="583">
        <v>42064</v>
      </c>
      <c r="K6" s="583">
        <v>42036</v>
      </c>
      <c r="L6" s="582">
        <v>42005</v>
      </c>
      <c r="M6" s="584">
        <v>2009</v>
      </c>
      <c r="N6" s="584">
        <v>2008</v>
      </c>
      <c r="O6" s="584">
        <v>2007</v>
      </c>
      <c r="P6" s="582">
        <v>41974</v>
      </c>
      <c r="Q6" s="159" t="s">
        <v>410</v>
      </c>
    </row>
    <row r="7" spans="1:18" ht="48" customHeight="1" x14ac:dyDescent="0.2">
      <c r="A7" s="611" t="s">
        <v>29</v>
      </c>
      <c r="B7" s="108" t="s">
        <v>133</v>
      </c>
      <c r="C7" s="108" t="s">
        <v>134</v>
      </c>
      <c r="D7" s="108" t="s">
        <v>330</v>
      </c>
      <c r="E7" s="587">
        <v>4.2941697990798014E-2</v>
      </c>
      <c r="F7" s="110"/>
      <c r="G7" s="589" t="e">
        <f>('BALANCE AÑO ANTERIOR'!D12+'BALANCE AÑO ANTERIOR'!#REF!+'BALANCE AÑO ANTERIOR'!D15)/'BALANCE AÑO ANTERIOR'!D52</f>
        <v>#REF!</v>
      </c>
      <c r="H7" s="590">
        <v>3.2204396035742648E-2</v>
      </c>
      <c r="I7" s="590">
        <v>3.2417996932356204E-2</v>
      </c>
      <c r="J7" s="590">
        <v>3.2540517339559358E-2</v>
      </c>
      <c r="K7" s="590">
        <v>3.3023381286547082E-2</v>
      </c>
      <c r="L7" s="590">
        <v>3.3072719699302922E-2</v>
      </c>
      <c r="M7" s="589">
        <v>5.4690224615622209E-2</v>
      </c>
      <c r="N7" s="589">
        <v>5.7968362072337361E-2</v>
      </c>
      <c r="O7" s="589">
        <v>3.9897200718421649E-2</v>
      </c>
      <c r="P7" s="591">
        <v>3.3410888555112296E-2</v>
      </c>
      <c r="Q7" s="162" t="s">
        <v>466</v>
      </c>
      <c r="R7" s="98"/>
    </row>
    <row r="8" spans="1:18" ht="56.45" customHeight="1" x14ac:dyDescent="0.2">
      <c r="A8" s="611" t="s">
        <v>135</v>
      </c>
      <c r="B8" s="108" t="s">
        <v>331</v>
      </c>
      <c r="C8" s="108" t="s">
        <v>332</v>
      </c>
      <c r="D8" s="108" t="s">
        <v>165</v>
      </c>
      <c r="E8" s="588">
        <v>8.5310678958480185E-2</v>
      </c>
      <c r="F8" s="110"/>
      <c r="G8" s="592">
        <f>('BALANCE AÑO ANTERIOR'!D8+'BALANCE AÑO ANTERIOR'!D13)/'BALANCE AÑO ANTERIOR'!D52</f>
        <v>0.13556482104680626</v>
      </c>
      <c r="H8" s="593">
        <v>7.0456123102784513E-2</v>
      </c>
      <c r="I8" s="593">
        <v>7.071858394386199E-2</v>
      </c>
      <c r="J8" s="593">
        <v>6.7843935585684509E-2</v>
      </c>
      <c r="K8" s="593">
        <v>5.9415179132153509E-2</v>
      </c>
      <c r="L8" s="593">
        <v>8.8183551989783199E-2</v>
      </c>
      <c r="M8" s="594">
        <v>7.8041949727960497E-2</v>
      </c>
      <c r="N8" s="589">
        <v>0.1055947984861985</v>
      </c>
      <c r="O8" s="594">
        <v>5.7760676102872034E-2</v>
      </c>
      <c r="P8" s="592">
        <v>9.358023831065905E-2</v>
      </c>
      <c r="Q8" s="162" t="s">
        <v>464</v>
      </c>
      <c r="R8" s="98"/>
    </row>
    <row r="9" spans="1:18" x14ac:dyDescent="0.2">
      <c r="A9" s="112"/>
      <c r="B9" s="113"/>
      <c r="C9" s="113"/>
      <c r="D9" s="113"/>
      <c r="E9" s="114"/>
      <c r="F9" s="110"/>
      <c r="G9" s="114"/>
      <c r="H9" s="114"/>
      <c r="I9" s="114"/>
      <c r="J9" s="114"/>
      <c r="K9" s="114"/>
      <c r="L9" s="115"/>
      <c r="M9" s="115"/>
      <c r="N9" s="114"/>
      <c r="O9" s="115"/>
      <c r="P9" s="115"/>
      <c r="R9" s="98"/>
    </row>
    <row r="10" spans="1:18" ht="51.75" customHeight="1" x14ac:dyDescent="0.2">
      <c r="A10" s="158" t="s">
        <v>136</v>
      </c>
      <c r="B10" s="1223" t="s">
        <v>653</v>
      </c>
      <c r="C10" s="1223"/>
      <c r="D10" s="1223"/>
      <c r="E10" s="1223"/>
      <c r="F10" s="1223"/>
      <c r="G10" s="1223"/>
      <c r="H10" s="1223"/>
      <c r="I10" s="1223"/>
      <c r="J10" s="1223"/>
      <c r="K10" s="1223"/>
      <c r="L10" s="1223"/>
      <c r="M10" s="1223"/>
      <c r="N10" s="1223"/>
      <c r="O10" s="1223"/>
      <c r="P10" s="1223"/>
      <c r="R10" s="98"/>
    </row>
    <row r="11" spans="1:18" ht="47.25" x14ac:dyDescent="0.3">
      <c r="A11" s="121"/>
      <c r="B11" s="1220" t="s">
        <v>409</v>
      </c>
      <c r="C11" s="1221"/>
      <c r="D11" s="1222"/>
      <c r="E11" s="585" t="s">
        <v>1015</v>
      </c>
      <c r="F11" s="606"/>
      <c r="G11" s="1219" t="s">
        <v>116</v>
      </c>
      <c r="H11" s="1219"/>
      <c r="I11" s="1219"/>
      <c r="J11" s="1219"/>
      <c r="K11" s="1219"/>
      <c r="L11" s="1219"/>
      <c r="M11" s="1219"/>
      <c r="N11" s="1219"/>
      <c r="O11" s="1219"/>
      <c r="P11" s="1219"/>
      <c r="R11" s="98"/>
    </row>
    <row r="12" spans="1:18" ht="31.5" x14ac:dyDescent="0.3">
      <c r="A12" s="121" t="s">
        <v>131</v>
      </c>
      <c r="B12" s="608" t="s">
        <v>128</v>
      </c>
      <c r="C12" s="609" t="s">
        <v>129</v>
      </c>
      <c r="D12" s="610" t="s">
        <v>130</v>
      </c>
      <c r="E12" s="584" t="s">
        <v>1014</v>
      </c>
      <c r="F12" s="607"/>
      <c r="G12" s="582">
        <v>42156</v>
      </c>
      <c r="H12" s="582">
        <v>42125</v>
      </c>
      <c r="I12" s="583">
        <v>42095</v>
      </c>
      <c r="J12" s="583">
        <v>42064</v>
      </c>
      <c r="K12" s="583">
        <v>42036</v>
      </c>
      <c r="L12" s="582">
        <v>42005</v>
      </c>
      <c r="M12" s="584">
        <v>2009</v>
      </c>
      <c r="N12" s="584">
        <v>2008</v>
      </c>
      <c r="O12" s="584">
        <v>2007</v>
      </c>
      <c r="P12" s="582">
        <v>41974</v>
      </c>
      <c r="Q12" s="159" t="s">
        <v>410</v>
      </c>
      <c r="R12" s="98"/>
    </row>
    <row r="13" spans="1:18" ht="57.6" customHeight="1" x14ac:dyDescent="0.2">
      <c r="A13" s="612" t="s">
        <v>137</v>
      </c>
      <c r="B13" s="108" t="s">
        <v>333</v>
      </c>
      <c r="C13" s="108" t="s">
        <v>334</v>
      </c>
      <c r="D13" s="108" t="s">
        <v>138</v>
      </c>
      <c r="E13" s="587">
        <v>1.1634902411489042E-2</v>
      </c>
      <c r="F13" s="110"/>
      <c r="G13" s="595">
        <f>((SUM('BALANCE AÑO ANTERIOR'!D23:D26))/'BALANCE AÑO ANTERIOR'!D18)</f>
        <v>1.1697937730113548E-2</v>
      </c>
      <c r="H13" s="596">
        <v>6.9532663287391622E-3</v>
      </c>
      <c r="I13" s="596">
        <v>1.045076294440234E-2</v>
      </c>
      <c r="J13" s="596">
        <v>1.0242806297032867E-2</v>
      </c>
      <c r="K13" s="596">
        <v>1.9665333072918588E-2</v>
      </c>
      <c r="L13" s="596">
        <v>1.3201479765454686E-2</v>
      </c>
      <c r="M13" s="597">
        <v>3.5654132087997094E-2</v>
      </c>
      <c r="N13" s="598">
        <v>5.1153313619854521E-2</v>
      </c>
      <c r="O13" s="599"/>
      <c r="P13" s="595">
        <v>1.0293175070548074E-2</v>
      </c>
      <c r="Q13" s="164" t="s">
        <v>583</v>
      </c>
      <c r="R13" s="98"/>
    </row>
    <row r="14" spans="1:18" ht="76.150000000000006" customHeight="1" x14ac:dyDescent="0.2">
      <c r="A14" s="612" t="s">
        <v>139</v>
      </c>
      <c r="B14" s="108" t="s">
        <v>140</v>
      </c>
      <c r="C14" s="108" t="s">
        <v>335</v>
      </c>
      <c r="D14" s="108" t="s">
        <v>141</v>
      </c>
      <c r="E14" s="588">
        <v>0.24862791818069258</v>
      </c>
      <c r="F14" s="110"/>
      <c r="G14" s="626">
        <f>-'BALANCE AÑO ANTERIOR'!D29/(SUM('BALANCE AÑO ANTERIOR'!D23:D26))</f>
        <v>2.3989379379441407</v>
      </c>
      <c r="H14" s="626">
        <v>0.53601319788929347</v>
      </c>
      <c r="I14" s="626">
        <v>0.39713181212109611</v>
      </c>
      <c r="J14" s="626">
        <v>0.4077707596518062</v>
      </c>
      <c r="K14" s="600">
        <v>0.20568890947877824</v>
      </c>
      <c r="L14" s="600">
        <v>0.24182543348709362</v>
      </c>
      <c r="M14" s="598">
        <v>-9.5308920374752346E-2</v>
      </c>
      <c r="N14" s="597">
        <v>-0.22213299647327439</v>
      </c>
      <c r="O14" s="599"/>
      <c r="P14" s="601">
        <v>0.19052497346326383</v>
      </c>
      <c r="Q14" s="164" t="s">
        <v>584</v>
      </c>
      <c r="R14" s="98"/>
    </row>
    <row r="15" spans="1:18" ht="40.9" customHeight="1" x14ac:dyDescent="0.2">
      <c r="A15" s="612" t="s">
        <v>127</v>
      </c>
      <c r="B15" s="108" t="s">
        <v>336</v>
      </c>
      <c r="C15" s="108" t="s">
        <v>337</v>
      </c>
      <c r="D15" s="108" t="s">
        <v>338</v>
      </c>
      <c r="E15" s="587">
        <v>5.0539705221145318E-3</v>
      </c>
      <c r="F15" s="110"/>
      <c r="G15" s="625">
        <f>-'BALANCE AÑO ANTERIOR'!D30/'BALANCE AÑO ANTERIOR'!D18</f>
        <v>1.1526499392775637E-2</v>
      </c>
      <c r="H15" s="626">
        <v>1.0368286455003276E-2</v>
      </c>
      <c r="I15" s="626">
        <v>1.0367124032208696E-2</v>
      </c>
      <c r="J15" s="626">
        <v>1.0401523591827439E-2</v>
      </c>
      <c r="K15" s="626">
        <v>1.0287414479226138E-2</v>
      </c>
      <c r="L15" s="626">
        <v>1.0256415315713334E-2</v>
      </c>
      <c r="M15" s="627">
        <v>-5.007101962068594E-3</v>
      </c>
      <c r="N15" s="627">
        <v>-5.1570989625382927E-3</v>
      </c>
      <c r="O15" s="628"/>
      <c r="P15" s="625">
        <v>1.0250841028566191E-2</v>
      </c>
      <c r="Q15" s="162" t="s">
        <v>654</v>
      </c>
      <c r="R15" s="98"/>
    </row>
    <row r="16" spans="1:18" ht="51" customHeight="1" x14ac:dyDescent="0.2">
      <c r="A16" s="612" t="s">
        <v>166</v>
      </c>
      <c r="B16" s="108" t="s">
        <v>339</v>
      </c>
      <c r="C16" s="108" t="s">
        <v>340</v>
      </c>
      <c r="D16" s="108" t="s">
        <v>341</v>
      </c>
      <c r="E16" s="588">
        <v>1.3697535430131702</v>
      </c>
      <c r="F16" s="110"/>
      <c r="G16" s="602">
        <f>'BALANCE AÑO ANTERIOR'!D18/'BALANCE AÑO ANTERIOR'!D57</f>
        <v>0.96796198174841475</v>
      </c>
      <c r="H16" s="603">
        <v>1.3768568795628771</v>
      </c>
      <c r="I16" s="603">
        <v>1.372954087288826</v>
      </c>
      <c r="J16" s="603">
        <v>1.3796636976332188</v>
      </c>
      <c r="K16" s="603">
        <v>1.4130627818380401</v>
      </c>
      <c r="L16" s="603">
        <v>1.3927130203022595</v>
      </c>
      <c r="M16" s="602">
        <v>1.5552725897511142</v>
      </c>
      <c r="N16" s="602">
        <v>1.882529236389106</v>
      </c>
      <c r="O16" s="602">
        <v>2.7000186892021918</v>
      </c>
      <c r="P16" s="602">
        <v>1.3679553186589057</v>
      </c>
      <c r="Q16" s="164" t="s">
        <v>453</v>
      </c>
    </row>
    <row r="17" spans="1:22" x14ac:dyDescent="0.2">
      <c r="A17" s="132"/>
      <c r="B17" s="128"/>
      <c r="C17" s="128"/>
      <c r="D17" s="128"/>
      <c r="E17" s="129"/>
      <c r="F17" s="110"/>
      <c r="G17" s="130"/>
      <c r="H17" s="130"/>
      <c r="I17" s="130"/>
      <c r="J17" s="130"/>
      <c r="K17" s="130"/>
      <c r="L17" s="130"/>
      <c r="M17" s="130"/>
      <c r="N17" s="130"/>
      <c r="O17" s="130"/>
      <c r="P17" s="130"/>
      <c r="Q17" s="131"/>
    </row>
    <row r="18" spans="1:22" ht="38.25" customHeight="1" x14ac:dyDescent="0.2">
      <c r="A18" s="166" t="s">
        <v>419</v>
      </c>
      <c r="B18" s="1223" t="s">
        <v>652</v>
      </c>
      <c r="C18" s="1223"/>
      <c r="D18" s="1223"/>
      <c r="E18" s="1223"/>
      <c r="F18" s="1223"/>
      <c r="G18" s="1223"/>
      <c r="H18" s="1223"/>
      <c r="I18" s="1223"/>
      <c r="J18" s="1223"/>
      <c r="K18" s="1223"/>
      <c r="L18" s="1223"/>
      <c r="M18" s="1223"/>
      <c r="N18" s="1223"/>
      <c r="O18" s="1223"/>
      <c r="P18" s="1223"/>
    </row>
    <row r="19" spans="1:22" ht="30.75" customHeight="1" x14ac:dyDescent="0.3">
      <c r="A19" s="121"/>
      <c r="B19" s="1220" t="s">
        <v>409</v>
      </c>
      <c r="C19" s="1221"/>
      <c r="D19" s="1222"/>
      <c r="E19" s="585" t="s">
        <v>1015</v>
      </c>
      <c r="F19" s="606"/>
      <c r="G19" s="1219" t="s">
        <v>116</v>
      </c>
      <c r="H19" s="1219"/>
      <c r="I19" s="1219"/>
      <c r="J19" s="1219"/>
      <c r="K19" s="1219"/>
      <c r="L19" s="1219"/>
      <c r="M19" s="1219"/>
      <c r="N19" s="1219"/>
      <c r="O19" s="1219"/>
      <c r="P19" s="1219"/>
    </row>
    <row r="20" spans="1:22" ht="31.5" x14ac:dyDescent="0.3">
      <c r="A20" s="121" t="s">
        <v>131</v>
      </c>
      <c r="B20" s="608" t="s">
        <v>128</v>
      </c>
      <c r="C20" s="609" t="s">
        <v>129</v>
      </c>
      <c r="D20" s="610" t="s">
        <v>539</v>
      </c>
      <c r="E20" s="584" t="s">
        <v>1014</v>
      </c>
      <c r="F20" s="607"/>
      <c r="G20" s="582">
        <f>G12</f>
        <v>42156</v>
      </c>
      <c r="H20" s="582">
        <v>42125</v>
      </c>
      <c r="I20" s="583">
        <v>42095</v>
      </c>
      <c r="J20" s="583">
        <v>42064</v>
      </c>
      <c r="K20" s="583">
        <v>42036</v>
      </c>
      <c r="L20" s="582">
        <v>42005</v>
      </c>
      <c r="M20" s="584">
        <v>2009</v>
      </c>
      <c r="N20" s="584">
        <v>2008</v>
      </c>
      <c r="O20" s="584">
        <v>2007</v>
      </c>
      <c r="P20" s="582">
        <v>41974</v>
      </c>
      <c r="Q20" s="159" t="s">
        <v>410</v>
      </c>
    </row>
    <row r="21" spans="1:22" ht="45" x14ac:dyDescent="0.2">
      <c r="A21" s="612" t="s">
        <v>143</v>
      </c>
      <c r="B21" s="108" t="s">
        <v>339</v>
      </c>
      <c r="C21" s="108" t="s">
        <v>340</v>
      </c>
      <c r="D21" s="108" t="s">
        <v>341</v>
      </c>
      <c r="E21" s="587">
        <v>1.5209769541011098</v>
      </c>
      <c r="F21" s="110"/>
      <c r="G21" s="604">
        <f>'BALANCE AÑO ANTERIOR'!D105/'BALANCE AÑO ANTERIOR'!D94</f>
        <v>7.2037366275553376</v>
      </c>
      <c r="H21" s="605">
        <v>1.5472076223584499</v>
      </c>
      <c r="I21" s="605">
        <v>1.5277803042177422</v>
      </c>
      <c r="J21" s="605">
        <v>1.5001240391702584</v>
      </c>
      <c r="K21" s="605">
        <v>1.701671685475163</v>
      </c>
      <c r="L21" s="605">
        <v>1.6848470014261758</v>
      </c>
      <c r="M21" s="604">
        <v>1.3821991725905618</v>
      </c>
      <c r="N21" s="604">
        <v>1.3282863372441465</v>
      </c>
      <c r="O21" s="604">
        <v>1.3786598334967013</v>
      </c>
      <c r="P21" s="605">
        <v>1.6771793958229735</v>
      </c>
      <c r="Q21" s="162" t="s">
        <v>454</v>
      </c>
    </row>
    <row r="22" spans="1:22" ht="31.9" customHeight="1" x14ac:dyDescent="0.2">
      <c r="A22" s="612" t="s">
        <v>144</v>
      </c>
      <c r="B22" s="108" t="s">
        <v>342</v>
      </c>
      <c r="C22" s="108" t="s">
        <v>343</v>
      </c>
      <c r="D22" s="108" t="s">
        <v>344</v>
      </c>
      <c r="E22" s="588">
        <v>0.13192682548411758</v>
      </c>
      <c r="F22" s="110"/>
      <c r="G22" s="617" t="e">
        <f>((('PYGCOM-CON AÑO ANTERIOR '!C104/(('BALANCE AÑO ANTERIOR'!D105+'BALANCE AÑO ANTERIOR'!#REF!)/2))+1)^(12/6))-1</f>
        <v>#REF!</v>
      </c>
      <c r="H22" s="618">
        <v>0.12156641053506023</v>
      </c>
      <c r="I22" s="618">
        <v>0.11563021730902645</v>
      </c>
      <c r="J22" s="618">
        <v>7.7637788739479241E-2</v>
      </c>
      <c r="K22" s="618">
        <v>6.902460408839195E-2</v>
      </c>
      <c r="L22" s="619">
        <v>1.8816383486324639E-2</v>
      </c>
      <c r="M22" s="617">
        <v>6.2734724993294355E-2</v>
      </c>
      <c r="N22" s="620">
        <v>4.2933195565570514E-2</v>
      </c>
      <c r="O22" s="617">
        <v>8.733343608550781E-2</v>
      </c>
      <c r="P22" s="618">
        <v>0.1494317490167254</v>
      </c>
      <c r="Q22" s="1216" t="s">
        <v>585</v>
      </c>
      <c r="R22" s="97">
        <f>211549397-9700000</f>
        <v>201849397</v>
      </c>
    </row>
    <row r="23" spans="1:22" ht="36.6" customHeight="1" x14ac:dyDescent="0.2">
      <c r="A23" s="612" t="s">
        <v>145</v>
      </c>
      <c r="B23" s="108" t="s">
        <v>342</v>
      </c>
      <c r="C23" s="108" t="s">
        <v>343</v>
      </c>
      <c r="D23" s="108" t="s">
        <v>344</v>
      </c>
      <c r="E23" s="587">
        <v>0.20033071581954887</v>
      </c>
      <c r="F23" s="110"/>
      <c r="G23" s="617" t="e">
        <f>((('PYGCOM-CON AÑO ANTERIOR '!C104/(('BALANCE AÑO ANTERIOR'!D94+'BALANCE AÑO ANTERIOR'!#REF!)/2))+1)^(12/6))-1</f>
        <v>#REF!</v>
      </c>
      <c r="H23" s="618">
        <v>0.19213578698581335</v>
      </c>
      <c r="I23" s="618">
        <v>0.18015796111018356</v>
      </c>
      <c r="J23" s="618">
        <v>0.11777489781269512</v>
      </c>
      <c r="K23" s="618">
        <v>0.11946115627371023</v>
      </c>
      <c r="L23" s="619">
        <v>3.1823980596482393E-2</v>
      </c>
      <c r="M23" s="617">
        <v>8.5011732067914458E-2</v>
      </c>
      <c r="N23" s="620">
        <v>5.8079148798429792E-2</v>
      </c>
      <c r="O23" s="617">
        <v>0.11929705597018203</v>
      </c>
      <c r="P23" s="618">
        <v>0.24957417983402208</v>
      </c>
      <c r="Q23" s="1218"/>
      <c r="U23" s="147" t="s">
        <v>429</v>
      </c>
      <c r="V23" s="148">
        <f>E24*1.1</f>
        <v>3.4376952795039932E-2</v>
      </c>
    </row>
    <row r="24" spans="1:22" ht="33" customHeight="1" x14ac:dyDescent="0.2">
      <c r="A24" s="612" t="s">
        <v>146</v>
      </c>
      <c r="B24" s="108" t="s">
        <v>345</v>
      </c>
      <c r="C24" s="108" t="s">
        <v>346</v>
      </c>
      <c r="D24" s="108" t="s">
        <v>347</v>
      </c>
      <c r="E24" s="588">
        <v>3.1251775268218117E-2</v>
      </c>
      <c r="F24" s="110"/>
      <c r="G24" s="621" t="e">
        <f>((('PYGCOM-CON AÑO ANTERIOR '!C104/(('BALANCE AÑO ANTERIOR'!D52+'BALANCE AÑO ANTERIOR'!#REF!)/2))+1)^(12/6))-1</f>
        <v>#REF!</v>
      </c>
      <c r="H24" s="619">
        <v>2.1706943437287185E-2</v>
      </c>
      <c r="I24" s="619">
        <v>2.0339683924096796E-2</v>
      </c>
      <c r="J24" s="619">
        <v>1.3577808862997198E-2</v>
      </c>
      <c r="K24" s="619">
        <v>1.3301512534467097E-2</v>
      </c>
      <c r="L24" s="619">
        <v>3.7138650269785689E-3</v>
      </c>
      <c r="M24" s="620">
        <v>2.1055751189674288E-2</v>
      </c>
      <c r="N24" s="620">
        <v>1.7161032551020972E-2</v>
      </c>
      <c r="O24" s="620">
        <v>4.1480535328797474E-2</v>
      </c>
      <c r="P24" s="618">
        <v>2.9905483822871837E-2</v>
      </c>
      <c r="Q24" s="1217"/>
      <c r="S24" s="207">
        <f>E24*0.9</f>
        <v>2.8126597741396305E-2</v>
      </c>
      <c r="U24" s="147" t="s">
        <v>430</v>
      </c>
      <c r="V24" s="148">
        <f>E24*0.9</f>
        <v>2.8126597741396305E-2</v>
      </c>
    </row>
    <row r="25" spans="1:22" ht="55.15" customHeight="1" x14ac:dyDescent="0.2">
      <c r="A25" s="612" t="s">
        <v>147</v>
      </c>
      <c r="B25" s="108" t="s">
        <v>382</v>
      </c>
      <c r="C25" s="108" t="s">
        <v>383</v>
      </c>
      <c r="D25" s="108" t="s">
        <v>381</v>
      </c>
      <c r="E25" s="587">
        <v>0.18806961044098744</v>
      </c>
      <c r="F25" s="110"/>
      <c r="G25" s="617" t="e">
        <f>((('PYGCOM-CON AÑO ANTERIOR '!C11/(('BALANCE AÑO ANTERIOR'!D18+'BALANCE AÑO ANTERIOR'!#REF!)/2))+1)^(12/6))-1</f>
        <v>#REF!</v>
      </c>
      <c r="H25" s="618">
        <v>0.19081445808991226</v>
      </c>
      <c r="I25" s="618">
        <v>0.19333500517619728</v>
      </c>
      <c r="J25" s="618">
        <v>0.19412861899705658</v>
      </c>
      <c r="K25" s="618">
        <v>0.19364911263508411</v>
      </c>
      <c r="L25" s="618">
        <v>0.19149465575248947</v>
      </c>
      <c r="M25" s="617">
        <v>0.17056925142915913</v>
      </c>
      <c r="N25" s="617">
        <v>0.20909880608670478</v>
      </c>
      <c r="O25" s="617">
        <v>0.16831617440835353</v>
      </c>
      <c r="P25" s="618">
        <v>0.17569280653026098</v>
      </c>
      <c r="Q25" s="162" t="s">
        <v>455</v>
      </c>
      <c r="R25" s="98"/>
      <c r="S25" s="97">
        <f>26*80%</f>
        <v>20.8</v>
      </c>
    </row>
    <row r="26" spans="1:22" ht="75.599999999999994" customHeight="1" x14ac:dyDescent="0.2">
      <c r="A26" s="612" t="s">
        <v>148</v>
      </c>
      <c r="B26" s="108" t="s">
        <v>348</v>
      </c>
      <c r="C26" s="108" t="s">
        <v>349</v>
      </c>
      <c r="D26" s="108" t="s">
        <v>350</v>
      </c>
      <c r="E26" s="588">
        <v>6.3394332036206799E-2</v>
      </c>
      <c r="F26" s="110"/>
      <c r="G26" s="622" t="e">
        <f>(((('PYGCOM-CON AÑO ANTERIOR '!C17+'PYGCOM-CON AÑO ANTERIOR '!C18)/(('BALANCE AÑO ANTERIOR'!D57+'BALANCE AÑO ANTERIOR'!#REF!)/2))+1)^(12/12))-1</f>
        <v>#REF!</v>
      </c>
      <c r="H26" s="622">
        <v>5.4545223380635166E-2</v>
      </c>
      <c r="I26" s="622">
        <v>5.5190100676588694E-2</v>
      </c>
      <c r="J26" s="622">
        <v>5.6050473054443106E-2</v>
      </c>
      <c r="K26" s="622">
        <v>5.444438234572524E-2</v>
      </c>
      <c r="L26" s="622">
        <v>5.7913807051091393E-2</v>
      </c>
      <c r="M26" s="620">
        <v>7.8307808472937793E-2</v>
      </c>
      <c r="N26" s="617">
        <v>9.1211592705442185E-2</v>
      </c>
      <c r="O26" s="623">
        <v>8.1033654284223017E-2</v>
      </c>
      <c r="P26" s="622">
        <v>5.4378420977487352E-2</v>
      </c>
      <c r="Q26" s="164" t="s">
        <v>456</v>
      </c>
      <c r="R26" s="119"/>
      <c r="S26" s="97">
        <f>3.5*1.5</f>
        <v>5.25</v>
      </c>
    </row>
    <row r="27" spans="1:22" ht="46.9" customHeight="1" x14ac:dyDescent="0.2">
      <c r="A27" s="612" t="s">
        <v>149</v>
      </c>
      <c r="B27" s="108" t="s">
        <v>351</v>
      </c>
      <c r="C27" s="108" t="s">
        <v>352</v>
      </c>
      <c r="D27" s="108" t="s">
        <v>353</v>
      </c>
      <c r="E27" s="587">
        <v>0.93181329845810978</v>
      </c>
      <c r="F27" s="110"/>
      <c r="G27" s="617">
        <f>('BALANCE AÑO ANTERIOR'!D52-'BALANCE AÑO ANTERIOR'!D9-'BALANCE AÑO ANTERIOR'!D10-'BALANCE AÑO ANTERIOR'!D45-'BALANCE AÑO ANTERIOR'!D47-'BALANCE AÑO ANTERIOR'!D12)/'BALANCE AÑO ANTERIOR'!D52</f>
        <v>0.93403628375874892</v>
      </c>
      <c r="H27" s="618">
        <v>0.95271359263210376</v>
      </c>
      <c r="I27" s="618">
        <v>0.9523559464541167</v>
      </c>
      <c r="J27" s="618">
        <v>0.9524373091438898</v>
      </c>
      <c r="K27" s="618">
        <v>0.960933043270357</v>
      </c>
      <c r="L27" s="618">
        <v>0.93196074927156758</v>
      </c>
      <c r="M27" s="617">
        <v>0.90398994707695546</v>
      </c>
      <c r="N27" s="617">
        <v>0.85837753033464581</v>
      </c>
      <c r="O27" s="617">
        <v>0.91325213112656456</v>
      </c>
      <c r="P27" s="618">
        <v>0.92856086900489787</v>
      </c>
      <c r="Q27" s="164" t="s">
        <v>457</v>
      </c>
      <c r="U27" s="147" t="s">
        <v>429</v>
      </c>
      <c r="V27" s="148">
        <f>E28*1.1</f>
        <v>0.56308859724250793</v>
      </c>
    </row>
    <row r="28" spans="1:22" ht="60.6" customHeight="1" x14ac:dyDescent="0.2">
      <c r="A28" s="612" t="s">
        <v>151</v>
      </c>
      <c r="B28" s="108" t="s">
        <v>347</v>
      </c>
      <c r="C28" s="108" t="s">
        <v>354</v>
      </c>
      <c r="D28" s="108" t="s">
        <v>355</v>
      </c>
      <c r="E28" s="588">
        <v>0.51189872476591625</v>
      </c>
      <c r="F28" s="110"/>
      <c r="G28" s="624" t="e">
        <f>('PYGCOM-CON AÑO ANTERIOR '!C91+'PYGCOM-CON AÑO ANTERIOR '!C41)/'PYGCOM-CON AÑO ANTERIOR '!C9</f>
        <v>#REF!</v>
      </c>
      <c r="H28" s="624">
        <v>0.54667110516653095</v>
      </c>
      <c r="I28" s="624">
        <v>0.5574994600966231</v>
      </c>
      <c r="J28" s="619">
        <v>0.6002333047402999</v>
      </c>
      <c r="K28" s="619">
        <v>0.58882997810994131</v>
      </c>
      <c r="L28" s="619">
        <v>0.6201397089134475</v>
      </c>
      <c r="M28" s="623">
        <v>0.49813983982672899</v>
      </c>
      <c r="N28" s="620">
        <v>0.57655009176873229</v>
      </c>
      <c r="O28" s="623">
        <v>0.46180158609400013</v>
      </c>
      <c r="P28" s="624">
        <v>0.50175614444742089</v>
      </c>
      <c r="Q28" s="1216" t="s">
        <v>586</v>
      </c>
      <c r="R28" s="98"/>
      <c r="S28" s="98">
        <f>E28*1.1</f>
        <v>0.56308859724250793</v>
      </c>
      <c r="U28" s="147" t="s">
        <v>430</v>
      </c>
      <c r="V28" s="148">
        <f>E28*0.9</f>
        <v>0.46070885228932462</v>
      </c>
    </row>
    <row r="29" spans="1:22" ht="33.75" x14ac:dyDescent="0.2">
      <c r="A29" s="612" t="s">
        <v>152</v>
      </c>
      <c r="B29" s="108" t="s">
        <v>355</v>
      </c>
      <c r="C29" s="108" t="s">
        <v>354</v>
      </c>
      <c r="D29" s="108" t="s">
        <v>347</v>
      </c>
      <c r="E29" s="587">
        <v>0.1866309063325019</v>
      </c>
      <c r="F29" s="110"/>
      <c r="G29" s="624">
        <f>'PYGCOM-CON AÑO ANTERIOR '!C104/'PYGCOM-CON AÑO ANTERIOR '!C9</f>
        <v>9.3971019134788419E-2</v>
      </c>
      <c r="H29" s="624">
        <v>0.14176093275246346</v>
      </c>
      <c r="I29" s="624">
        <v>0.13242989869656432</v>
      </c>
      <c r="J29" s="619">
        <v>8.8586144748868306E-2</v>
      </c>
      <c r="K29" s="619">
        <v>8.7250339292829784E-2</v>
      </c>
      <c r="L29" s="619">
        <v>2.4385423514583001E-2</v>
      </c>
      <c r="M29" s="620">
        <v>0.1341233704990015</v>
      </c>
      <c r="N29" s="620">
        <v>0.10859278388392321</v>
      </c>
      <c r="O29" s="623">
        <v>0.24418869911599983</v>
      </c>
      <c r="P29" s="618">
        <v>0.20045359244059638</v>
      </c>
      <c r="Q29" s="1217"/>
      <c r="R29" s="207">
        <f>G29*0.9</f>
        <v>8.457391722130958E-2</v>
      </c>
      <c r="U29" s="147" t="s">
        <v>429</v>
      </c>
      <c r="V29" s="148">
        <f>E29*1.1</f>
        <v>0.2052939969657521</v>
      </c>
    </row>
    <row r="30" spans="1:22" ht="73.900000000000006" customHeight="1" x14ac:dyDescent="0.2">
      <c r="A30" s="612" t="s">
        <v>153</v>
      </c>
      <c r="B30" s="108" t="s">
        <v>356</v>
      </c>
      <c r="C30" s="108" t="s">
        <v>357</v>
      </c>
      <c r="D30" s="108" t="s">
        <v>358</v>
      </c>
      <c r="E30" s="588">
        <v>0.7082001330001122</v>
      </c>
      <c r="F30" s="110"/>
      <c r="G30" s="617">
        <v>0.71737038342354775</v>
      </c>
      <c r="H30" s="618">
        <v>0.71737038342354775</v>
      </c>
      <c r="I30" s="618">
        <v>0.71737038342354775</v>
      </c>
      <c r="J30" s="618">
        <v>0.71737038342354775</v>
      </c>
      <c r="K30" s="618">
        <v>0.71737038342354775</v>
      </c>
      <c r="L30" s="618">
        <v>0.71737038342354775</v>
      </c>
      <c r="M30" s="617">
        <v>0.63226321032573052</v>
      </c>
      <c r="N30" s="617">
        <v>0.65672089316117499</v>
      </c>
      <c r="O30" s="617">
        <v>0.68677161097119399</v>
      </c>
      <c r="P30" s="618">
        <v>0.71737038342354775</v>
      </c>
      <c r="Q30" s="164" t="s">
        <v>458</v>
      </c>
      <c r="U30" s="147" t="s">
        <v>430</v>
      </c>
      <c r="V30" s="148">
        <f>E29*0.9</f>
        <v>0.1679678156992517</v>
      </c>
    </row>
    <row r="31" spans="1:22" x14ac:dyDescent="0.2">
      <c r="A31" s="132"/>
      <c r="B31" s="113"/>
      <c r="C31" s="113"/>
      <c r="D31" s="113"/>
      <c r="E31" s="138"/>
      <c r="F31" s="110"/>
      <c r="G31" s="172"/>
      <c r="H31" s="172"/>
      <c r="I31" s="172"/>
      <c r="J31" s="172"/>
      <c r="K31" s="172"/>
      <c r="L31" s="172"/>
      <c r="M31" s="172"/>
      <c r="N31" s="172"/>
      <c r="O31" s="172"/>
      <c r="P31" s="172"/>
      <c r="Q31" s="131"/>
    </row>
    <row r="32" spans="1:22" ht="56.25" customHeight="1" x14ac:dyDescent="0.2">
      <c r="A32" s="166" t="s">
        <v>420</v>
      </c>
      <c r="B32" s="1223" t="s">
        <v>1041</v>
      </c>
      <c r="C32" s="1223"/>
      <c r="D32" s="1223"/>
      <c r="E32" s="1223"/>
      <c r="F32" s="1223"/>
      <c r="G32" s="1223"/>
      <c r="H32" s="1223"/>
      <c r="I32" s="1223"/>
      <c r="J32" s="1223"/>
      <c r="K32" s="1223"/>
      <c r="L32" s="1223"/>
      <c r="M32" s="1223"/>
      <c r="N32" s="1223"/>
      <c r="O32" s="1223"/>
      <c r="P32" s="1223"/>
    </row>
    <row r="33" spans="1:22" ht="20.25" customHeight="1" x14ac:dyDescent="0.3">
      <c r="A33" s="121"/>
      <c r="B33" s="1220" t="s">
        <v>409</v>
      </c>
      <c r="C33" s="1221"/>
      <c r="D33" s="1222"/>
      <c r="E33" s="585" t="s">
        <v>1015</v>
      </c>
      <c r="F33" s="606"/>
      <c r="G33" s="1219" t="s">
        <v>116</v>
      </c>
      <c r="H33" s="1219"/>
      <c r="I33" s="1219"/>
      <c r="J33" s="1219"/>
      <c r="K33" s="1219"/>
      <c r="L33" s="1219"/>
      <c r="M33" s="1219"/>
      <c r="N33" s="1219"/>
      <c r="O33" s="1219"/>
      <c r="P33" s="1219"/>
    </row>
    <row r="34" spans="1:22" ht="31.5" x14ac:dyDescent="0.3">
      <c r="A34" s="121" t="s">
        <v>131</v>
      </c>
      <c r="B34" s="608" t="s">
        <v>128</v>
      </c>
      <c r="C34" s="609" t="s">
        <v>129</v>
      </c>
      <c r="D34" s="610" t="s">
        <v>539</v>
      </c>
      <c r="E34" s="584" t="s">
        <v>1014</v>
      </c>
      <c r="F34" s="607"/>
      <c r="G34" s="582">
        <f>G20</f>
        <v>42156</v>
      </c>
      <c r="H34" s="582">
        <v>42125</v>
      </c>
      <c r="I34" s="583">
        <v>42095</v>
      </c>
      <c r="J34" s="583">
        <v>42064</v>
      </c>
      <c r="K34" s="583">
        <v>42036</v>
      </c>
      <c r="L34" s="582">
        <v>42005</v>
      </c>
      <c r="M34" s="584">
        <v>2009</v>
      </c>
      <c r="N34" s="584">
        <v>2008</v>
      </c>
      <c r="O34" s="584">
        <v>2007</v>
      </c>
      <c r="P34" s="582">
        <v>41974</v>
      </c>
      <c r="Q34" s="159" t="s">
        <v>410</v>
      </c>
    </row>
    <row r="35" spans="1:22" ht="54" customHeight="1" x14ac:dyDescent="0.2">
      <c r="A35" s="612" t="s">
        <v>155</v>
      </c>
      <c r="B35" s="108" t="s">
        <v>359</v>
      </c>
      <c r="C35" s="108" t="s">
        <v>360</v>
      </c>
      <c r="D35" s="108" t="s">
        <v>156</v>
      </c>
      <c r="E35" s="587">
        <v>0.84506055336822994</v>
      </c>
      <c r="F35" s="110"/>
      <c r="G35" s="629">
        <f>'BALANCE AÑO ANTERIOR'!D17/'BALANCE AÑO ANTERIOR'!D52</f>
        <v>0.79411494212212563</v>
      </c>
      <c r="H35" s="624">
        <v>0.85265358793407442</v>
      </c>
      <c r="I35" s="624">
        <v>0.85041920594924492</v>
      </c>
      <c r="J35" s="624">
        <v>0.85612546862415806</v>
      </c>
      <c r="K35" s="624">
        <v>0.85319683645135724</v>
      </c>
      <c r="L35" s="624">
        <v>0.8441785514869673</v>
      </c>
      <c r="M35" s="629">
        <v>0.82974611630621686</v>
      </c>
      <c r="N35" s="629">
        <v>0.76875286808477883</v>
      </c>
      <c r="O35" s="629">
        <v>0.87113080910518959</v>
      </c>
      <c r="P35" s="618">
        <v>0.8294448691180889</v>
      </c>
      <c r="Q35" s="164" t="s">
        <v>459</v>
      </c>
      <c r="R35" s="98"/>
      <c r="S35" s="212">
        <f>E35*1.1</f>
        <v>0.92956660870505303</v>
      </c>
      <c r="U35" s="147" t="s">
        <v>429</v>
      </c>
      <c r="V35" s="148">
        <f>E35*1.1</f>
        <v>0.92956660870505303</v>
      </c>
    </row>
    <row r="36" spans="1:22" ht="22.5" x14ac:dyDescent="0.2">
      <c r="A36" s="612" t="s">
        <v>167</v>
      </c>
      <c r="B36" s="108" t="s">
        <v>361</v>
      </c>
      <c r="C36" s="108" t="s">
        <v>362</v>
      </c>
      <c r="D36" s="108" t="s">
        <v>363</v>
      </c>
      <c r="E36" s="588">
        <v>0.31356292512183265</v>
      </c>
      <c r="F36" s="110"/>
      <c r="G36" s="629">
        <f>('BALANCE AÑO ANTERIOR'!D89-('BALANCE AÑO ANTERIOR'!D75+'BALANCE AÑO ANTERIOR'!D61))/'BALANCE AÑO ANTERIOR'!D52</f>
        <v>0.41966599479937855</v>
      </c>
      <c r="H36" s="624">
        <v>0.42119412350198987</v>
      </c>
      <c r="I36" s="624">
        <v>0.42424866753184604</v>
      </c>
      <c r="J36" s="624">
        <v>0.42500659981125444</v>
      </c>
      <c r="K36" s="624">
        <v>0.42463954592995751</v>
      </c>
      <c r="L36" s="624">
        <v>0.42700590940878314</v>
      </c>
      <c r="M36" s="617">
        <v>0.17045856615776023</v>
      </c>
      <c r="N36" s="617">
        <v>0.2024105515644542</v>
      </c>
      <c r="O36" s="617">
        <v>0.26637351092681211</v>
      </c>
      <c r="P36" s="624">
        <v>0.42147047489281192</v>
      </c>
      <c r="Q36" s="1216" t="s">
        <v>460</v>
      </c>
      <c r="U36" s="147" t="s">
        <v>430</v>
      </c>
      <c r="V36" s="148">
        <f>E35*0.9</f>
        <v>0.76055449803140696</v>
      </c>
    </row>
    <row r="37" spans="1:22" ht="55.15" customHeight="1" x14ac:dyDescent="0.2">
      <c r="A37" s="612" t="s">
        <v>157</v>
      </c>
      <c r="B37" s="108" t="s">
        <v>364</v>
      </c>
      <c r="C37" s="108" t="s">
        <v>365</v>
      </c>
      <c r="D37" s="108" t="s">
        <v>366</v>
      </c>
      <c r="E37" s="587">
        <v>0.59352597116098649</v>
      </c>
      <c r="F37" s="110"/>
      <c r="G37" s="617">
        <f>'BALANCE AÑO ANTERIOR'!D57/'BALANCE AÑO ANTERIOR'!D52</f>
        <v>0.75579363329790406</v>
      </c>
      <c r="H37" s="618">
        <v>0.60551013909820772</v>
      </c>
      <c r="I37" s="618">
        <v>0.60595910709587242</v>
      </c>
      <c r="J37" s="618">
        <v>0.6050581669613323</v>
      </c>
      <c r="K37" s="618">
        <v>0.59521606546614692</v>
      </c>
      <c r="L37" s="618">
        <v>0.59883819443527697</v>
      </c>
      <c r="M37" s="623">
        <v>0.53350526574830126</v>
      </c>
      <c r="N37" s="620">
        <v>0.40836171530559051</v>
      </c>
      <c r="O37" s="620">
        <v>0.32263880712714382</v>
      </c>
      <c r="P37" s="618">
        <v>0.59863344850009503</v>
      </c>
      <c r="Q37" s="1217"/>
    </row>
    <row r="38" spans="1:22" ht="58.9" customHeight="1" x14ac:dyDescent="0.2">
      <c r="A38" s="612" t="s">
        <v>384</v>
      </c>
      <c r="B38" s="108" t="s">
        <v>158</v>
      </c>
      <c r="C38" s="108" t="s">
        <v>159</v>
      </c>
      <c r="D38" s="108" t="s">
        <v>367</v>
      </c>
      <c r="E38" s="588">
        <v>0.11774231806816263</v>
      </c>
      <c r="F38" s="110"/>
      <c r="G38" s="618">
        <f>'BALANCE AÑO ANTERIOR'!D62/'BALANCE AÑO ANTERIOR'!D52</f>
        <v>5.449113021785832E-2</v>
      </c>
      <c r="H38" s="618">
        <v>9.8449362126306533E-2</v>
      </c>
      <c r="I38" s="618">
        <v>0.1012377547521004</v>
      </c>
      <c r="J38" s="618">
        <v>0.10482924762589341</v>
      </c>
      <c r="K38" s="618">
        <v>0.10858241671859792</v>
      </c>
      <c r="L38" s="624">
        <v>0.11094555038451274</v>
      </c>
      <c r="M38" s="623">
        <v>0.12272707718177514</v>
      </c>
      <c r="N38" s="623">
        <v>0.12909726854825224</v>
      </c>
      <c r="O38" s="617">
        <v>0.21194195840919192</v>
      </c>
      <c r="P38" s="624">
        <v>0.11430338058889622</v>
      </c>
      <c r="Q38" s="164" t="s">
        <v>461</v>
      </c>
    </row>
    <row r="39" spans="1:22" ht="42.75" customHeight="1" x14ac:dyDescent="0.2">
      <c r="A39" s="612" t="s">
        <v>385</v>
      </c>
      <c r="B39" s="108" t="s">
        <v>161</v>
      </c>
      <c r="C39" s="108" t="s">
        <v>368</v>
      </c>
      <c r="D39" s="108" t="s">
        <v>369</v>
      </c>
      <c r="E39" s="587">
        <v>0.14534811577717499</v>
      </c>
      <c r="F39" s="110"/>
      <c r="G39" s="617">
        <f>'BALANCE AÑO ANTERIOR'!D94/'BALANCE AÑO ANTERIOR'!D52</f>
        <v>2.1770630055249849E-2</v>
      </c>
      <c r="H39" s="618">
        <v>0.11184549736671281</v>
      </c>
      <c r="I39" s="618">
        <v>0.11264641972385905</v>
      </c>
      <c r="J39" s="618">
        <v>0.11415747529757211</v>
      </c>
      <c r="K39" s="618">
        <v>0.11136414967604465</v>
      </c>
      <c r="L39" s="618">
        <v>0.11163595578257079</v>
      </c>
      <c r="M39" s="623">
        <v>0.21417764815321597</v>
      </c>
      <c r="N39" s="620">
        <v>0.29302999089873433</v>
      </c>
      <c r="O39" s="620">
        <v>0.29810666268825298</v>
      </c>
      <c r="P39" s="618">
        <v>0.11362565270919575</v>
      </c>
      <c r="Q39" s="164" t="s">
        <v>467</v>
      </c>
    </row>
    <row r="40" spans="1:22" ht="33.75" x14ac:dyDescent="0.2">
      <c r="A40" s="612" t="s">
        <v>421</v>
      </c>
      <c r="B40" s="108" t="s">
        <v>163</v>
      </c>
      <c r="C40" s="108" t="s">
        <v>164</v>
      </c>
      <c r="D40" s="108" t="s">
        <v>165</v>
      </c>
      <c r="E40" s="588">
        <v>7.3321566392469728E-2</v>
      </c>
      <c r="F40" s="110"/>
      <c r="G40" s="623">
        <f>('BALANCE AÑO ANTERIOR'!D105-'BALANCE AÑO ANTERIOR'!D94)/'BALANCE AÑO ANTERIOR'!D52</f>
        <v>0.13505925507871058</v>
      </c>
      <c r="H40" s="624">
        <v>6.1202708685537177E-2</v>
      </c>
      <c r="I40" s="624">
        <v>5.9452561670897817E-2</v>
      </c>
      <c r="J40" s="624">
        <v>5.7092897647300751E-2</v>
      </c>
      <c r="K40" s="624">
        <v>7.8141070604698576E-2</v>
      </c>
      <c r="L40" s="624">
        <v>7.6453549569038756E-2</v>
      </c>
      <c r="M40" s="623">
        <v>8.1858519911551589E-2</v>
      </c>
      <c r="N40" s="623">
        <v>9.6197742414831103E-2</v>
      </c>
      <c r="O40" s="617">
        <v>0.11288101925779118</v>
      </c>
      <c r="P40" s="624">
        <v>7.6944950851604188E-2</v>
      </c>
      <c r="Q40" s="164" t="s">
        <v>462</v>
      </c>
    </row>
    <row r="42" spans="1:22" x14ac:dyDescent="0.2">
      <c r="C42" s="147" t="s">
        <v>432</v>
      </c>
      <c r="D42" s="147" t="s">
        <v>431</v>
      </c>
    </row>
    <row r="43" spans="1:22" ht="12.75" x14ac:dyDescent="0.2">
      <c r="A43" s="107" t="s">
        <v>380</v>
      </c>
      <c r="B43" s="137">
        <v>0.29880000000000001</v>
      </c>
      <c r="C43" s="147">
        <v>0.8</v>
      </c>
      <c r="D43" s="149">
        <f>B43*C43</f>
        <v>0.23904000000000003</v>
      </c>
    </row>
    <row r="44" spans="1:22" ht="12.75" x14ac:dyDescent="0.2">
      <c r="A44" s="107" t="s">
        <v>412</v>
      </c>
      <c r="B44" s="137">
        <v>5.1200000000000002E-2</v>
      </c>
      <c r="C44" s="147">
        <v>1.5</v>
      </c>
      <c r="D44" s="149">
        <f>B44*C44</f>
        <v>7.6800000000000007E-2</v>
      </c>
    </row>
    <row r="45" spans="1:22" x14ac:dyDescent="0.2">
      <c r="A45" s="107" t="s">
        <v>463</v>
      </c>
      <c r="B45" s="137">
        <v>3.73E-2</v>
      </c>
    </row>
    <row r="48" spans="1:22" x14ac:dyDescent="0.2">
      <c r="B48" s="98"/>
    </row>
    <row r="49" spans="1:3" x14ac:dyDescent="0.2">
      <c r="B49" s="98"/>
    </row>
    <row r="50" spans="1:3" x14ac:dyDescent="0.2">
      <c r="B50" s="98"/>
    </row>
    <row r="52" spans="1:3" x14ac:dyDescent="0.2">
      <c r="B52" s="163" t="s">
        <v>655</v>
      </c>
      <c r="C52" s="163" t="s">
        <v>657</v>
      </c>
    </row>
    <row r="53" spans="1:3" x14ac:dyDescent="0.2">
      <c r="B53" s="420" t="s">
        <v>656</v>
      </c>
      <c r="C53" s="420" t="s">
        <v>656</v>
      </c>
    </row>
    <row r="54" spans="1:3" ht="22.5" x14ac:dyDescent="0.2">
      <c r="A54" s="163" t="s">
        <v>146</v>
      </c>
      <c r="B54" s="180">
        <v>2.8447268579517626E-2</v>
      </c>
      <c r="C54" s="474">
        <v>3.3599999999999998E-2</v>
      </c>
    </row>
    <row r="55" spans="1:3" ht="22.5" x14ac:dyDescent="0.2">
      <c r="A55" s="163" t="s">
        <v>151</v>
      </c>
      <c r="B55" s="180">
        <v>0.54809163339023503</v>
      </c>
      <c r="C55" s="473">
        <v>0.48049999999999998</v>
      </c>
    </row>
    <row r="56" spans="1:3" ht="22.5" x14ac:dyDescent="0.2">
      <c r="A56" s="163" t="s">
        <v>152</v>
      </c>
      <c r="B56" s="178">
        <v>0.17835944482157876</v>
      </c>
      <c r="C56" s="473">
        <v>0.2089</v>
      </c>
    </row>
  </sheetData>
  <mergeCells count="16">
    <mergeCell ref="A2:P2"/>
    <mergeCell ref="Q36:Q37"/>
    <mergeCell ref="Q22:Q24"/>
    <mergeCell ref="G5:P5"/>
    <mergeCell ref="B33:D33"/>
    <mergeCell ref="Q28:Q29"/>
    <mergeCell ref="G19:P19"/>
    <mergeCell ref="B19:D19"/>
    <mergeCell ref="G11:P11"/>
    <mergeCell ref="G33:P33"/>
    <mergeCell ref="B18:P18"/>
    <mergeCell ref="B32:P32"/>
    <mergeCell ref="B5:D5"/>
    <mergeCell ref="B11:D11"/>
    <mergeCell ref="B3:P3"/>
    <mergeCell ref="B10:P10"/>
  </mergeCells>
  <pageMargins left="0.70866141732283472" right="0.70866141732283472" top="0.74803149606299213" bottom="0.74803149606299213" header="0.31496062992125984" footer="0.31496062992125984"/>
  <pageSetup paperSize="5" scale="8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7"/>
  <dimension ref="B1:L37"/>
  <sheetViews>
    <sheetView topLeftCell="A2" workbookViewId="0">
      <selection activeCell="D4" sqref="D4"/>
    </sheetView>
  </sheetViews>
  <sheetFormatPr baseColWidth="10" defaultRowHeight="15" x14ac:dyDescent="0.2"/>
  <cols>
    <col min="3" max="3" width="28.44140625" customWidth="1"/>
    <col min="4" max="4" width="17.77734375" customWidth="1"/>
    <col min="5" max="5" width="22.77734375" customWidth="1"/>
    <col min="6" max="6" width="24.33203125" customWidth="1"/>
    <col min="7" max="8" width="14.6640625" customWidth="1"/>
    <col min="9" max="9" width="20.5546875" style="201" customWidth="1"/>
  </cols>
  <sheetData>
    <row r="1" spans="3:12" ht="33.6" customHeight="1" x14ac:dyDescent="0.2">
      <c r="C1" s="1227" t="s">
        <v>550</v>
      </c>
      <c r="D1" s="1228"/>
      <c r="E1" s="1228"/>
      <c r="F1" s="1228"/>
      <c r="G1" s="241"/>
      <c r="H1" s="241"/>
      <c r="I1" s="242"/>
    </row>
    <row r="2" spans="3:12" ht="18" x14ac:dyDescent="0.25">
      <c r="C2" s="247"/>
      <c r="D2" s="248" t="s">
        <v>495</v>
      </c>
      <c r="E2" s="249" t="s">
        <v>495</v>
      </c>
      <c r="F2" s="249" t="s">
        <v>495</v>
      </c>
      <c r="G2" s="239"/>
      <c r="H2" s="239"/>
      <c r="I2" s="195" t="s">
        <v>496</v>
      </c>
    </row>
    <row r="3" spans="3:12" ht="18" x14ac:dyDescent="0.25">
      <c r="C3" s="248" t="s">
        <v>497</v>
      </c>
      <c r="D3" s="264" t="s">
        <v>498</v>
      </c>
      <c r="E3" s="250" t="s">
        <v>589</v>
      </c>
      <c r="F3" s="250" t="s">
        <v>588</v>
      </c>
      <c r="G3" s="240"/>
      <c r="H3" s="240"/>
      <c r="I3" s="195" t="s">
        <v>487</v>
      </c>
    </row>
    <row r="4" spans="3:12" ht="22.9" customHeight="1" x14ac:dyDescent="0.25">
      <c r="C4" s="244" t="s">
        <v>499</v>
      </c>
      <c r="D4" s="265">
        <v>0.25</v>
      </c>
      <c r="E4" s="271">
        <v>0.29637035825732272</v>
      </c>
      <c r="F4" s="272" t="e">
        <f>'BALANCE AÑO ANTERIOR'!#REF!</f>
        <v>#REF!</v>
      </c>
      <c r="G4" s="268"/>
      <c r="H4" s="235"/>
      <c r="I4" s="196" t="e">
        <f t="shared" ref="I4:I9" si="0">F4/D4</f>
        <v>#REF!</v>
      </c>
    </row>
    <row r="5" spans="3:12" ht="22.9" customHeight="1" x14ac:dyDescent="0.25">
      <c r="C5" s="245" t="s">
        <v>500</v>
      </c>
      <c r="D5" s="266">
        <v>0.28000000000000003</v>
      </c>
      <c r="E5" s="271">
        <v>0.1832378012676987</v>
      </c>
      <c r="F5" s="272" t="e">
        <f>'BALANCE AÑO ANTERIOR'!#REF!</f>
        <v>#REF!</v>
      </c>
      <c r="G5" s="268"/>
      <c r="H5" s="235"/>
      <c r="I5" s="196" t="e">
        <f t="shared" si="0"/>
        <v>#REF!</v>
      </c>
    </row>
    <row r="6" spans="3:12" ht="22.9" customHeight="1" x14ac:dyDescent="0.25">
      <c r="C6" s="245" t="s">
        <v>501</v>
      </c>
      <c r="D6" s="266">
        <v>0.4</v>
      </c>
      <c r="E6" s="271">
        <v>0.69832238559272586</v>
      </c>
      <c r="F6" s="272" t="e">
        <f>'BALANCE AÑO ANTERIOR'!#REF!</f>
        <v>#REF!</v>
      </c>
      <c r="G6" s="269"/>
      <c r="H6" s="236"/>
      <c r="I6" s="197" t="e">
        <f t="shared" si="0"/>
        <v>#REF!</v>
      </c>
    </row>
    <row r="7" spans="3:12" ht="22.9" customHeight="1" x14ac:dyDescent="0.25">
      <c r="C7" s="245" t="s">
        <v>502</v>
      </c>
      <c r="D7" s="266">
        <v>0.2</v>
      </c>
      <c r="E7" s="271">
        <v>0.32754431866481143</v>
      </c>
      <c r="F7" s="272" t="e">
        <f>'BALANCE AÑO ANTERIOR'!#REF!</f>
        <v>#REF!</v>
      </c>
      <c r="G7" s="269"/>
      <c r="H7" s="236"/>
      <c r="I7" s="197" t="e">
        <f t="shared" si="0"/>
        <v>#REF!</v>
      </c>
    </row>
    <row r="8" spans="3:12" ht="22.9" customHeight="1" x14ac:dyDescent="0.25">
      <c r="C8" s="245" t="s">
        <v>503</v>
      </c>
      <c r="D8" s="266">
        <v>0.15</v>
      </c>
      <c r="E8" s="271">
        <v>0.18</v>
      </c>
      <c r="F8" s="272">
        <v>0.18</v>
      </c>
      <c r="G8" s="269"/>
      <c r="H8" s="236"/>
      <c r="I8" s="197">
        <f t="shared" si="0"/>
        <v>1.2</v>
      </c>
    </row>
    <row r="9" spans="3:12" ht="22.9" customHeight="1" x14ac:dyDescent="0.25">
      <c r="C9" s="245" t="s">
        <v>504</v>
      </c>
      <c r="D9" s="266">
        <v>0.18</v>
      </c>
      <c r="E9" s="271">
        <v>0.21966388439577023</v>
      </c>
      <c r="F9" s="272">
        <f>'PYGCOM-CON AÑO ANTERIOR '!J9</f>
        <v>1.8667020249461694</v>
      </c>
      <c r="G9" s="269"/>
      <c r="H9" s="236"/>
      <c r="I9" s="197">
        <f t="shared" si="0"/>
        <v>10.370566805256498</v>
      </c>
    </row>
    <row r="10" spans="3:12" ht="22.9" customHeight="1" x14ac:dyDescent="0.25">
      <c r="C10" s="245" t="s">
        <v>505</v>
      </c>
      <c r="D10" s="266">
        <v>0.02</v>
      </c>
      <c r="E10" s="271">
        <v>5.1173662495717616E-3</v>
      </c>
      <c r="F10" s="272">
        <f>'Indicadores (2)'!G13</f>
        <v>1.1697937730113548E-2</v>
      </c>
      <c r="G10" s="269"/>
      <c r="H10" s="236"/>
      <c r="I10" s="197">
        <f>D10/F10</f>
        <v>1.709703065739081</v>
      </c>
    </row>
    <row r="11" spans="3:12" ht="18.600000000000001" customHeight="1" x14ac:dyDescent="0.25">
      <c r="C11" s="246" t="s">
        <v>506</v>
      </c>
      <c r="D11" s="267">
        <v>0.25</v>
      </c>
      <c r="E11" s="271">
        <v>0.16</v>
      </c>
      <c r="F11" s="272">
        <v>0.16</v>
      </c>
      <c r="G11" s="270"/>
      <c r="H11" s="237"/>
      <c r="I11" s="198">
        <f>F11/D11</f>
        <v>0.64</v>
      </c>
      <c r="J11" t="s">
        <v>507</v>
      </c>
      <c r="K11">
        <v>1375</v>
      </c>
    </row>
    <row r="12" spans="3:12" ht="18.600000000000001" customHeight="1" x14ac:dyDescent="0.2">
      <c r="C12" s="243"/>
      <c r="D12" s="238"/>
      <c r="E12" s="238"/>
      <c r="F12" s="238"/>
      <c r="G12" s="238"/>
      <c r="H12" s="238"/>
      <c r="I12" s="200" t="e">
        <f>AVERAGE(I4:I11)</f>
        <v>#REF!</v>
      </c>
    </row>
    <row r="13" spans="3:12" ht="18.600000000000001" customHeight="1" x14ac:dyDescent="0.2">
      <c r="C13" s="243"/>
      <c r="D13" s="238"/>
      <c r="E13" s="238"/>
      <c r="F13" s="238"/>
      <c r="G13" s="238"/>
      <c r="H13" s="238"/>
      <c r="I13" s="199"/>
    </row>
    <row r="14" spans="3:12" ht="18.600000000000001" customHeight="1" x14ac:dyDescent="0.2">
      <c r="C14" s="243"/>
      <c r="D14" s="238"/>
      <c r="E14" s="238"/>
      <c r="F14" s="238"/>
      <c r="G14" s="238"/>
      <c r="H14" s="238"/>
      <c r="I14" s="199"/>
    </row>
    <row r="15" spans="3:12" x14ac:dyDescent="0.2">
      <c r="L15" t="s">
        <v>508</v>
      </c>
    </row>
    <row r="16" spans="3:12" x14ac:dyDescent="0.2">
      <c r="F16">
        <f>1173/1250</f>
        <v>0.93840000000000001</v>
      </c>
      <c r="K16">
        <v>1039</v>
      </c>
      <c r="L16">
        <v>1237</v>
      </c>
    </row>
    <row r="17" spans="3:12" x14ac:dyDescent="0.2">
      <c r="L17">
        <f>L16-K16</f>
        <v>198</v>
      </c>
    </row>
    <row r="18" spans="3:12" ht="15.75" x14ac:dyDescent="0.25">
      <c r="C18" s="202"/>
      <c r="D18" s="203" t="s">
        <v>495</v>
      </c>
      <c r="E18" s="203"/>
      <c r="F18" s="204" t="s">
        <v>495</v>
      </c>
      <c r="G18" s="204"/>
      <c r="H18" s="204"/>
      <c r="I18" s="205" t="s">
        <v>509</v>
      </c>
    </row>
    <row r="19" spans="3:12" ht="15.75" x14ac:dyDescent="0.25">
      <c r="C19" s="206" t="s">
        <v>497</v>
      </c>
      <c r="D19" s="203" t="s">
        <v>510</v>
      </c>
      <c r="E19" s="203"/>
      <c r="F19" s="204" t="s">
        <v>511</v>
      </c>
      <c r="G19" s="204"/>
      <c r="H19" s="204"/>
      <c r="I19" s="205" t="s">
        <v>512</v>
      </c>
      <c r="L19" s="207">
        <f>L17/K16</f>
        <v>0.19056785370548604</v>
      </c>
    </row>
    <row r="20" spans="3:12" ht="23.45" customHeight="1" x14ac:dyDescent="0.25">
      <c r="C20" s="208" t="s">
        <v>513</v>
      </c>
      <c r="D20" s="209">
        <v>9.7799999999999998E-2</v>
      </c>
      <c r="E20" s="209"/>
      <c r="F20" s="210">
        <v>0.1817</v>
      </c>
      <c r="G20" s="210"/>
      <c r="H20" s="210"/>
      <c r="I20" s="211">
        <f>F20-D20</f>
        <v>8.3900000000000002E-2</v>
      </c>
      <c r="K20" s="207"/>
      <c r="L20" s="207"/>
    </row>
    <row r="21" spans="3:12" ht="24" customHeight="1" x14ac:dyDescent="0.25">
      <c r="C21" s="208" t="s">
        <v>514</v>
      </c>
      <c r="D21" s="209">
        <v>0.15590000000000001</v>
      </c>
      <c r="E21" s="209"/>
      <c r="F21" s="210">
        <v>0.19570000000000001</v>
      </c>
      <c r="G21" s="210"/>
      <c r="H21" s="210"/>
      <c r="I21" s="211">
        <f>F21-D21</f>
        <v>3.9800000000000002E-2</v>
      </c>
    </row>
    <row r="22" spans="3:12" ht="24" customHeight="1" x14ac:dyDescent="0.25">
      <c r="C22" s="208" t="s">
        <v>515</v>
      </c>
      <c r="D22" s="209">
        <v>9.2299999999999993E-2</v>
      </c>
      <c r="E22" s="209"/>
      <c r="F22" s="210">
        <v>0.18820000000000001</v>
      </c>
      <c r="G22" s="210"/>
      <c r="H22" s="210"/>
      <c r="I22" s="211">
        <f>F22-D22</f>
        <v>9.5900000000000013E-2</v>
      </c>
    </row>
    <row r="25" spans="3:12" x14ac:dyDescent="0.2">
      <c r="C25">
        <v>581669373</v>
      </c>
    </row>
    <row r="26" spans="3:12" x14ac:dyDescent="0.2">
      <c r="C26">
        <v>627964800</v>
      </c>
    </row>
    <row r="28" spans="3:12" x14ac:dyDescent="0.2">
      <c r="C28" s="212"/>
    </row>
    <row r="29" spans="3:12" x14ac:dyDescent="0.2">
      <c r="C29">
        <f>C26-C25</f>
        <v>46295427</v>
      </c>
    </row>
    <row r="30" spans="3:12" x14ac:dyDescent="0.2">
      <c r="C30" s="207">
        <f>C29/C25</f>
        <v>7.9590621664035938E-2</v>
      </c>
    </row>
    <row r="32" spans="3:12" x14ac:dyDescent="0.2">
      <c r="C32" t="s">
        <v>516</v>
      </c>
    </row>
    <row r="33" spans="2:9" x14ac:dyDescent="0.2">
      <c r="C33" s="214" t="s">
        <v>517</v>
      </c>
      <c r="D33" s="214" t="s">
        <v>520</v>
      </c>
      <c r="E33" s="214"/>
    </row>
    <row r="34" spans="2:9" x14ac:dyDescent="0.2">
      <c r="B34" s="214" t="s">
        <v>518</v>
      </c>
      <c r="C34" s="214">
        <v>581669373</v>
      </c>
      <c r="D34" s="214">
        <v>627964800</v>
      </c>
      <c r="E34" s="214"/>
    </row>
    <row r="35" spans="2:9" x14ac:dyDescent="0.2">
      <c r="B35" s="214" t="s">
        <v>519</v>
      </c>
      <c r="C35" s="214">
        <v>510095122</v>
      </c>
      <c r="D35" s="214">
        <v>719598697</v>
      </c>
      <c r="E35" s="214"/>
    </row>
    <row r="37" spans="2:9" x14ac:dyDescent="0.2">
      <c r="C37">
        <f>SUM(C34:C36)</f>
        <v>1091764495</v>
      </c>
      <c r="D37">
        <f>SUM(D34:D36)</f>
        <v>1347563497</v>
      </c>
      <c r="F37">
        <f>D37-C37</f>
        <v>255799002</v>
      </c>
      <c r="I37" s="207">
        <f>F37/C37</f>
        <v>0.23429870010564871</v>
      </c>
    </row>
  </sheetData>
  <mergeCells count="1">
    <mergeCell ref="C1:F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8"/>
  <dimension ref="A1:S50"/>
  <sheetViews>
    <sheetView topLeftCell="D3" zoomScale="160" zoomScaleNormal="160" workbookViewId="0">
      <selection activeCell="G7" sqref="G7"/>
    </sheetView>
  </sheetViews>
  <sheetFormatPr baseColWidth="10" defaultRowHeight="11.25" x14ac:dyDescent="0.2"/>
  <cols>
    <col min="1" max="1" width="19.77734375" style="97" customWidth="1"/>
    <col min="2" max="2" width="11.6640625" style="97" customWidth="1"/>
    <col min="3" max="3" width="14.21875" style="97" customWidth="1"/>
    <col min="4" max="4" width="11.5546875" style="97" customWidth="1"/>
    <col min="5" max="5" width="7.77734375" style="97" customWidth="1"/>
    <col min="6" max="6" width="8" style="97" customWidth="1"/>
    <col min="7" max="7" width="1.21875" style="97" customWidth="1"/>
    <col min="8" max="8" width="5.88671875" style="98" customWidth="1"/>
    <col min="9" max="9" width="5.21875" style="97" customWidth="1"/>
    <col min="10" max="10" width="4.88671875" style="97" bestFit="1" customWidth="1"/>
    <col min="11" max="11" width="5.33203125" style="97" bestFit="1" customWidth="1"/>
    <col min="12" max="12" width="4.88671875" style="97" bestFit="1" customWidth="1"/>
    <col min="13" max="13" width="4.88671875" style="97" customWidth="1"/>
    <col min="14" max="14" width="50.6640625" style="97" customWidth="1"/>
    <col min="15" max="16384" width="11.5546875" style="97"/>
  </cols>
  <sheetData>
    <row r="1" spans="1:15" ht="12" thickBot="1" x14ac:dyDescent="0.25"/>
    <row r="2" spans="1:15" ht="12" thickBot="1" x14ac:dyDescent="0.25">
      <c r="A2" s="1229" t="s">
        <v>406</v>
      </c>
      <c r="B2" s="1230"/>
      <c r="C2" s="1230"/>
      <c r="D2" s="1230"/>
      <c r="E2" s="1230"/>
      <c r="F2" s="1230"/>
      <c r="G2" s="1231"/>
      <c r="H2" s="1231"/>
      <c r="I2" s="1231"/>
      <c r="J2" s="1231"/>
      <c r="K2" s="1231"/>
      <c r="L2" s="1232"/>
    </row>
    <row r="3" spans="1:15" ht="33" customHeight="1" x14ac:dyDescent="0.2">
      <c r="A3" s="99" t="s">
        <v>31</v>
      </c>
      <c r="B3" s="1233" t="s">
        <v>433</v>
      </c>
      <c r="C3" s="1233"/>
      <c r="D3" s="1233"/>
      <c r="E3" s="1233"/>
      <c r="F3" s="1233"/>
      <c r="H3" s="1243"/>
      <c r="I3" s="1243"/>
      <c r="J3" s="1243"/>
      <c r="K3" s="1243"/>
      <c r="L3" s="1243"/>
    </row>
    <row r="4" spans="1:15" ht="6" customHeight="1" x14ac:dyDescent="0.2">
      <c r="A4" s="100"/>
      <c r="G4" s="101"/>
    </row>
    <row r="5" spans="1:15" ht="15.75" customHeight="1" x14ac:dyDescent="0.2">
      <c r="A5" s="121"/>
      <c r="B5" s="1220" t="s">
        <v>409</v>
      </c>
      <c r="C5" s="1221"/>
      <c r="D5" s="1222"/>
      <c r="E5" s="1241" t="s">
        <v>386</v>
      </c>
      <c r="F5" s="1242"/>
      <c r="G5" s="102"/>
      <c r="H5" s="1234" t="s">
        <v>116</v>
      </c>
      <c r="I5" s="1234"/>
      <c r="J5" s="1234"/>
      <c r="K5" s="1234"/>
      <c r="L5" s="1234"/>
      <c r="M5" s="1234"/>
    </row>
    <row r="6" spans="1:15" x14ac:dyDescent="0.2">
      <c r="A6" s="121" t="s">
        <v>131</v>
      </c>
      <c r="B6" s="103" t="s">
        <v>128</v>
      </c>
      <c r="C6" s="104" t="s">
        <v>129</v>
      </c>
      <c r="D6" s="105" t="s">
        <v>130</v>
      </c>
      <c r="E6" s="123">
        <v>2008</v>
      </c>
      <c r="F6" s="123">
        <v>2009</v>
      </c>
      <c r="G6" s="106"/>
      <c r="H6" s="124">
        <v>40544</v>
      </c>
      <c r="I6" s="123">
        <v>2010</v>
      </c>
      <c r="J6" s="123">
        <v>2009</v>
      </c>
      <c r="K6" s="123">
        <v>2008</v>
      </c>
      <c r="L6" s="123">
        <v>2007</v>
      </c>
      <c r="M6" s="123">
        <v>2006</v>
      </c>
      <c r="N6" s="121" t="s">
        <v>410</v>
      </c>
    </row>
    <row r="7" spans="1:15" ht="22.5" x14ac:dyDescent="0.2">
      <c r="A7" s="122" t="s">
        <v>29</v>
      </c>
      <c r="B7" s="108" t="s">
        <v>133</v>
      </c>
      <c r="C7" s="108" t="s">
        <v>134</v>
      </c>
      <c r="D7" s="108" t="s">
        <v>330</v>
      </c>
      <c r="E7" s="109">
        <v>7.4499999999999997E-2</v>
      </c>
      <c r="F7" s="109">
        <v>8.7999999999999995E-2</v>
      </c>
      <c r="G7" s="110"/>
      <c r="H7" s="141" t="e">
        <f>#REF!/#REF!</f>
        <v>#REF!</v>
      </c>
      <c r="I7" s="146">
        <v>5.5742606531176471E-2</v>
      </c>
      <c r="J7" s="141">
        <v>5.4690224615622209E-2</v>
      </c>
      <c r="K7" s="141">
        <v>5.7968362072337361E-2</v>
      </c>
      <c r="L7" s="141">
        <v>3.9897200718421649E-2</v>
      </c>
      <c r="M7" s="109">
        <v>4.0356338886012845E-2</v>
      </c>
      <c r="N7" s="125" t="s">
        <v>280</v>
      </c>
      <c r="O7" s="98"/>
    </row>
    <row r="8" spans="1:15" ht="22.5" x14ac:dyDescent="0.2">
      <c r="A8" s="122" t="s">
        <v>135</v>
      </c>
      <c r="B8" s="108" t="s">
        <v>331</v>
      </c>
      <c r="C8" s="108" t="s">
        <v>332</v>
      </c>
      <c r="D8" s="108" t="s">
        <v>165</v>
      </c>
      <c r="E8" s="109">
        <v>0.1273</v>
      </c>
      <c r="F8" s="109">
        <v>0.14630000000000001</v>
      </c>
      <c r="G8" s="110"/>
      <c r="H8" s="111" t="e">
        <f>(#REF!+#REF!+#REF!)/#REF!</f>
        <v>#REF!</v>
      </c>
      <c r="I8" s="146">
        <v>0.12077836766671537</v>
      </c>
      <c r="J8" s="111">
        <v>7.8041949727960497E-2</v>
      </c>
      <c r="K8" s="141">
        <v>0.1055947984861985</v>
      </c>
      <c r="L8" s="111">
        <v>5.7760676102872034E-2</v>
      </c>
      <c r="M8" s="111">
        <v>9.393443665538824E-2</v>
      </c>
      <c r="N8" s="125" t="s">
        <v>407</v>
      </c>
      <c r="O8" s="98"/>
    </row>
    <row r="9" spans="1:15" x14ac:dyDescent="0.2">
      <c r="A9" s="112"/>
      <c r="B9" s="113"/>
      <c r="C9" s="113"/>
      <c r="D9" s="113"/>
      <c r="E9" s="114"/>
      <c r="F9" s="114"/>
      <c r="G9" s="110"/>
      <c r="H9" s="114"/>
      <c r="I9" s="115"/>
      <c r="J9" s="115"/>
      <c r="K9" s="114"/>
      <c r="L9" s="115"/>
      <c r="M9" s="115"/>
      <c r="O9" s="98"/>
    </row>
    <row r="10" spans="1:15" ht="23.25" customHeight="1" x14ac:dyDescent="0.2">
      <c r="A10" s="99" t="s">
        <v>136</v>
      </c>
      <c r="B10" s="1235" t="s">
        <v>408</v>
      </c>
      <c r="C10" s="1236"/>
      <c r="D10" s="1236"/>
      <c r="E10" s="1236"/>
      <c r="F10" s="1237"/>
      <c r="G10" s="110"/>
      <c r="H10" s="1238"/>
      <c r="I10" s="1239"/>
      <c r="J10" s="1239"/>
      <c r="K10" s="1239"/>
      <c r="L10" s="1240"/>
      <c r="M10" s="115"/>
      <c r="O10" s="98"/>
    </row>
    <row r="11" spans="1:15" x14ac:dyDescent="0.2">
      <c r="A11" s="121"/>
      <c r="B11" s="1220" t="s">
        <v>409</v>
      </c>
      <c r="C11" s="1221"/>
      <c r="D11" s="1222"/>
      <c r="E11" s="1241" t="s">
        <v>386</v>
      </c>
      <c r="F11" s="1242"/>
      <c r="G11" s="102"/>
      <c r="H11" s="1234" t="s">
        <v>116</v>
      </c>
      <c r="I11" s="1234"/>
      <c r="J11" s="1234"/>
      <c r="K11" s="1234"/>
      <c r="L11" s="1234"/>
      <c r="M11" s="1234"/>
      <c r="O11" s="98"/>
    </row>
    <row r="12" spans="1:15" x14ac:dyDescent="0.2">
      <c r="A12" s="121" t="s">
        <v>131</v>
      </c>
      <c r="B12" s="103" t="s">
        <v>128</v>
      </c>
      <c r="C12" s="104" t="s">
        <v>129</v>
      </c>
      <c r="D12" s="105" t="s">
        <v>130</v>
      </c>
      <c r="E12" s="123">
        <v>2008</v>
      </c>
      <c r="F12" s="123">
        <v>2009</v>
      </c>
      <c r="G12" s="106"/>
      <c r="H12" s="124">
        <v>40544</v>
      </c>
      <c r="I12" s="123">
        <v>2010</v>
      </c>
      <c r="J12" s="123">
        <v>2009</v>
      </c>
      <c r="K12" s="123">
        <v>2008</v>
      </c>
      <c r="L12" s="123">
        <v>2007</v>
      </c>
      <c r="M12" s="123">
        <v>2006</v>
      </c>
      <c r="N12" s="121" t="s">
        <v>410</v>
      </c>
      <c r="O12" s="98"/>
    </row>
    <row r="13" spans="1:15" ht="33.75" x14ac:dyDescent="0.2">
      <c r="A13" s="122" t="s">
        <v>137</v>
      </c>
      <c r="B13" s="108" t="s">
        <v>333</v>
      </c>
      <c r="C13" s="108" t="s">
        <v>334</v>
      </c>
      <c r="D13" s="108" t="s">
        <v>138</v>
      </c>
      <c r="E13" s="111">
        <v>3.1800000000000002E-2</v>
      </c>
      <c r="F13" s="111">
        <v>3.1600000000000003E-2</v>
      </c>
      <c r="G13" s="110"/>
      <c r="H13" s="141" t="e">
        <f>SUM(#REF!)/#REF!</f>
        <v>#REF!</v>
      </c>
      <c r="I13" s="141">
        <v>1.6403991029145137E-2</v>
      </c>
      <c r="J13" s="111">
        <v>3.5654132087997094E-2</v>
      </c>
      <c r="K13" s="142">
        <v>5.1153313619854521E-2</v>
      </c>
      <c r="L13" s="116"/>
      <c r="M13" s="116"/>
      <c r="N13" s="125" t="s">
        <v>372</v>
      </c>
      <c r="O13" s="98"/>
    </row>
    <row r="14" spans="1:15" ht="33.75" x14ac:dyDescent="0.2">
      <c r="A14" s="122" t="s">
        <v>139</v>
      </c>
      <c r="B14" s="108" t="s">
        <v>140</v>
      </c>
      <c r="C14" s="108" t="s">
        <v>335</v>
      </c>
      <c r="D14" s="108" t="s">
        <v>141</v>
      </c>
      <c r="E14" s="111">
        <v>0.2122</v>
      </c>
      <c r="F14" s="111">
        <v>0.2349</v>
      </c>
      <c r="G14" s="110"/>
      <c r="H14" s="126" t="e">
        <f>#REF!/SUM(#REF!)</f>
        <v>#REF!</v>
      </c>
      <c r="I14" s="126">
        <v>-0.19857070030046994</v>
      </c>
      <c r="J14" s="142">
        <v>-9.5308920374752346E-2</v>
      </c>
      <c r="K14" s="111">
        <v>-0.22213299647327439</v>
      </c>
      <c r="L14" s="116"/>
      <c r="M14" s="116"/>
      <c r="N14" s="125" t="s">
        <v>281</v>
      </c>
      <c r="O14" s="98"/>
    </row>
    <row r="15" spans="1:15" ht="22.5" x14ac:dyDescent="0.2">
      <c r="A15" s="122" t="s">
        <v>127</v>
      </c>
      <c r="B15" s="108" t="s">
        <v>336</v>
      </c>
      <c r="C15" s="108" t="s">
        <v>337</v>
      </c>
      <c r="D15" s="108" t="s">
        <v>338</v>
      </c>
      <c r="E15" s="111">
        <v>1.8100000000000002E-2</v>
      </c>
      <c r="F15" s="111">
        <v>0.02</v>
      </c>
      <c r="G15" s="110"/>
      <c r="H15" s="111" t="e">
        <f>#REF!/#REF!</f>
        <v>#REF!</v>
      </c>
      <c r="I15" s="111">
        <v>-5.0177491339922636E-3</v>
      </c>
      <c r="J15" s="111">
        <v>-5.007101962068594E-3</v>
      </c>
      <c r="K15" s="111">
        <v>-5.1570989625382927E-3</v>
      </c>
      <c r="L15" s="116"/>
      <c r="M15" s="116"/>
      <c r="N15" s="125" t="s">
        <v>282</v>
      </c>
      <c r="O15" s="98"/>
    </row>
    <row r="16" spans="1:15" ht="22.5" x14ac:dyDescent="0.2">
      <c r="A16" s="122" t="s">
        <v>166</v>
      </c>
      <c r="B16" s="108" t="s">
        <v>339</v>
      </c>
      <c r="C16" s="108" t="s">
        <v>340</v>
      </c>
      <c r="D16" s="108" t="s">
        <v>341</v>
      </c>
      <c r="E16" s="127">
        <v>1.54</v>
      </c>
      <c r="F16" s="127">
        <v>1.48</v>
      </c>
      <c r="G16" s="110"/>
      <c r="H16" s="143" t="e">
        <f>#REF!/#REF!</f>
        <v>#REF!</v>
      </c>
      <c r="I16" s="143">
        <v>1.3020425291324673</v>
      </c>
      <c r="J16" s="143">
        <v>1.5552725897511142</v>
      </c>
      <c r="K16" s="143">
        <v>1.882529236389106</v>
      </c>
      <c r="L16" s="143">
        <v>2.7000186892021918</v>
      </c>
      <c r="M16" s="127">
        <v>2.6147215653163682</v>
      </c>
      <c r="N16" s="125" t="s">
        <v>283</v>
      </c>
    </row>
    <row r="17" spans="1:19" x14ac:dyDescent="0.2">
      <c r="A17" s="132"/>
      <c r="B17" s="128"/>
      <c r="C17" s="128"/>
      <c r="D17" s="128"/>
      <c r="E17" s="129"/>
      <c r="F17" s="129"/>
      <c r="G17" s="110"/>
      <c r="H17" s="130"/>
      <c r="I17" s="130"/>
      <c r="J17" s="130"/>
      <c r="K17" s="130"/>
      <c r="L17" s="130"/>
      <c r="M17" s="130"/>
      <c r="N17" s="131"/>
    </row>
    <row r="18" spans="1:19" ht="38.25" customHeight="1" x14ac:dyDescent="0.2">
      <c r="A18" s="99" t="s">
        <v>419</v>
      </c>
      <c r="B18" s="1235" t="s">
        <v>411</v>
      </c>
      <c r="C18" s="1236"/>
      <c r="D18" s="1236"/>
      <c r="E18" s="1236"/>
      <c r="F18" s="1237"/>
      <c r="G18" s="110"/>
      <c r="H18" s="1235"/>
      <c r="I18" s="1236"/>
      <c r="J18" s="1236"/>
      <c r="K18" s="1236"/>
      <c r="L18" s="1237"/>
      <c r="M18" s="115"/>
    </row>
    <row r="19" spans="1:19" x14ac:dyDescent="0.2">
      <c r="A19" s="121"/>
      <c r="B19" s="1220" t="s">
        <v>409</v>
      </c>
      <c r="C19" s="1221"/>
      <c r="D19" s="1222"/>
      <c r="E19" s="1241" t="s">
        <v>386</v>
      </c>
      <c r="F19" s="1242"/>
      <c r="G19" s="102"/>
      <c r="H19" s="1234" t="s">
        <v>116</v>
      </c>
      <c r="I19" s="1234"/>
      <c r="J19" s="1234"/>
      <c r="K19" s="1234"/>
      <c r="L19" s="1234"/>
      <c r="M19" s="1234"/>
    </row>
    <row r="20" spans="1:19" x14ac:dyDescent="0.2">
      <c r="A20" s="121" t="s">
        <v>131</v>
      </c>
      <c r="B20" s="103" t="s">
        <v>128</v>
      </c>
      <c r="C20" s="104" t="s">
        <v>129</v>
      </c>
      <c r="D20" s="105" t="s">
        <v>130</v>
      </c>
      <c r="E20" s="123">
        <v>2008</v>
      </c>
      <c r="F20" s="123">
        <v>2009</v>
      </c>
      <c r="G20" s="106"/>
      <c r="H20" s="124">
        <v>40544</v>
      </c>
      <c r="I20" s="123">
        <v>2010</v>
      </c>
      <c r="J20" s="123">
        <v>2009</v>
      </c>
      <c r="K20" s="123">
        <v>2008</v>
      </c>
      <c r="L20" s="123">
        <v>2007</v>
      </c>
      <c r="M20" s="123">
        <v>2006</v>
      </c>
      <c r="N20" s="121" t="s">
        <v>410</v>
      </c>
    </row>
    <row r="21" spans="1:19" ht="33.75" x14ac:dyDescent="0.2">
      <c r="A21" s="122" t="s">
        <v>143</v>
      </c>
      <c r="B21" s="108" t="s">
        <v>339</v>
      </c>
      <c r="C21" s="108" t="s">
        <v>340</v>
      </c>
      <c r="D21" s="108" t="s">
        <v>341</v>
      </c>
      <c r="E21" s="127">
        <v>1.53</v>
      </c>
      <c r="F21" s="127">
        <v>1.55</v>
      </c>
      <c r="G21" s="110"/>
      <c r="H21" s="143" t="e">
        <f>#REF!/#REF!</f>
        <v>#REF!</v>
      </c>
      <c r="I21" s="143">
        <v>1.3821991725905618</v>
      </c>
      <c r="J21" s="143">
        <v>1.3821991725905618</v>
      </c>
      <c r="K21" s="143">
        <v>1.3282863372441465</v>
      </c>
      <c r="L21" s="143">
        <v>1.3786598334967013</v>
      </c>
      <c r="M21" s="127">
        <v>1.3534999663165896</v>
      </c>
      <c r="N21" s="125" t="s">
        <v>286</v>
      </c>
    </row>
    <row r="22" spans="1:19" ht="33.75" x14ac:dyDescent="0.2">
      <c r="A22" s="122" t="s">
        <v>144</v>
      </c>
      <c r="B22" s="108" t="s">
        <v>342</v>
      </c>
      <c r="C22" s="108" t="s">
        <v>343</v>
      </c>
      <c r="D22" s="108" t="s">
        <v>344</v>
      </c>
      <c r="E22" s="133">
        <v>9.9199999999999997E-2</v>
      </c>
      <c r="F22" s="133">
        <v>6.4799999999999996E-2</v>
      </c>
      <c r="G22" s="110"/>
      <c r="H22" s="144" t="e">
        <f>(((('PYGCOM-CON AÑO ANTERIOR '!C94/((#REF!+#REF!)/2))+1)^(12/1))-1)</f>
        <v>#REF!</v>
      </c>
      <c r="I22" s="144">
        <v>9.6651817112197946E-2</v>
      </c>
      <c r="J22" s="144">
        <v>6.2734724993294355E-2</v>
      </c>
      <c r="K22" s="145">
        <v>4.2933195565570514E-2</v>
      </c>
      <c r="L22" s="144">
        <v>8.733343608550781E-2</v>
      </c>
      <c r="M22" s="133">
        <v>9.370415706384394E-2</v>
      </c>
      <c r="N22" s="125" t="s">
        <v>413</v>
      </c>
      <c r="O22" s="97">
        <f>211549397-9700000</f>
        <v>201849397</v>
      </c>
    </row>
    <row r="23" spans="1:19" ht="33.75" x14ac:dyDescent="0.2">
      <c r="A23" s="122" t="s">
        <v>145</v>
      </c>
      <c r="B23" s="108" t="s">
        <v>342</v>
      </c>
      <c r="C23" s="108" t="s">
        <v>343</v>
      </c>
      <c r="D23" s="108" t="s">
        <v>344</v>
      </c>
      <c r="E23" s="133">
        <v>0.15179999999999999</v>
      </c>
      <c r="F23" s="133">
        <v>9.98E-2</v>
      </c>
      <c r="G23" s="110"/>
      <c r="H23" s="144" t="e">
        <f>(((('PYGCOM-CON AÑO ANTERIOR '!C94/((#REF!+#REF!)/2))+1)^(12/1))-1)</f>
        <v>#REF!</v>
      </c>
      <c r="I23" s="144">
        <v>0.14040669476604717</v>
      </c>
      <c r="J23" s="144">
        <v>8.5011732067914458E-2</v>
      </c>
      <c r="K23" s="145">
        <v>5.8079148798429792E-2</v>
      </c>
      <c r="L23" s="144">
        <v>0.11929705597018203</v>
      </c>
      <c r="M23" s="133">
        <v>0.12682857342963727</v>
      </c>
      <c r="N23" s="125" t="s">
        <v>414</v>
      </c>
      <c r="R23" s="147" t="s">
        <v>429</v>
      </c>
      <c r="S23" s="148">
        <f>F24*1.1</f>
        <v>3.0140000000000004E-2</v>
      </c>
    </row>
    <row r="24" spans="1:19" ht="33" customHeight="1" x14ac:dyDescent="0.2">
      <c r="A24" s="122" t="s">
        <v>146</v>
      </c>
      <c r="B24" s="108" t="s">
        <v>345</v>
      </c>
      <c r="C24" s="108" t="s">
        <v>346</v>
      </c>
      <c r="D24" s="108" t="s">
        <v>347</v>
      </c>
      <c r="E24" s="117">
        <f>F24*0.9</f>
        <v>2.4660000000000001E-2</v>
      </c>
      <c r="F24" s="118">
        <v>2.7400000000000001E-2</v>
      </c>
      <c r="G24" s="110"/>
      <c r="H24" s="145" t="e">
        <f>(((('PYGCOM-CON AÑO ANTERIOR '!C94/((#REF!+#REF!)/2))+1)^(12/1))-1)</f>
        <v>#REF!</v>
      </c>
      <c r="I24" s="144">
        <v>3.4563793946781773E-2</v>
      </c>
      <c r="J24" s="145">
        <v>2.1055751189674288E-2</v>
      </c>
      <c r="K24" s="145">
        <v>1.7161032551020972E-2</v>
      </c>
      <c r="L24" s="145">
        <v>4.1480535328797474E-2</v>
      </c>
      <c r="M24" s="134">
        <v>5.2760625504456371E-2</v>
      </c>
      <c r="N24" s="125" t="s">
        <v>415</v>
      </c>
      <c r="R24" s="147" t="s">
        <v>430</v>
      </c>
      <c r="S24" s="148">
        <f>F24*0.9</f>
        <v>2.4660000000000001E-2</v>
      </c>
    </row>
    <row r="25" spans="1:19" ht="25.5" customHeight="1" x14ac:dyDescent="0.2">
      <c r="A25" s="122" t="s">
        <v>147</v>
      </c>
      <c r="B25" s="108" t="s">
        <v>382</v>
      </c>
      <c r="C25" s="108" t="s">
        <v>383</v>
      </c>
      <c r="D25" s="108" t="s">
        <v>381</v>
      </c>
      <c r="E25" s="133">
        <v>0.21210000000000001</v>
      </c>
      <c r="F25" s="133">
        <v>0.12470000000000001</v>
      </c>
      <c r="G25" s="110"/>
      <c r="H25" s="135" t="e">
        <f>(((('PYGCOM-CON AÑO ANTERIOR '!C9/(('BALANCE AÑO ANTERIOR'!D18+'BALANCE AÑO ANTERIOR'!#REF!)/2))+1)^(12/1.1))-1)</f>
        <v>#REF!</v>
      </c>
      <c r="I25" s="135">
        <v>0.19252284777311446</v>
      </c>
      <c r="J25" s="144">
        <v>0.17056925142915913</v>
      </c>
      <c r="K25" s="144">
        <v>0.20909880608670478</v>
      </c>
      <c r="L25" s="144">
        <v>0.16831617440835353</v>
      </c>
      <c r="M25" s="133">
        <v>0.17810041249919245</v>
      </c>
      <c r="N25" s="125" t="s">
        <v>374</v>
      </c>
      <c r="O25" s="98"/>
    </row>
    <row r="26" spans="1:19" ht="33" customHeight="1" x14ac:dyDescent="0.2">
      <c r="A26" s="122" t="s">
        <v>148</v>
      </c>
      <c r="B26" s="108" t="s">
        <v>348</v>
      </c>
      <c r="C26" s="108" t="s">
        <v>349</v>
      </c>
      <c r="D26" s="108" t="s">
        <v>350</v>
      </c>
      <c r="E26" s="135">
        <v>0.1114</v>
      </c>
      <c r="F26" s="135">
        <v>5.8700000000000002E-2</v>
      </c>
      <c r="G26" s="110"/>
      <c r="H26" s="145" t="e">
        <f>((((('PYGCOM-CON AÑO ANTERIOR '!C16+'PYGCOM-CON AÑO ANTERIOR '!C17)/(('BALANCE AÑO ANTERIOR'!D57+'BALANCE AÑO ANTERIOR'!#REF!)/2))+1)^(12/1))-1)</f>
        <v>#REF!</v>
      </c>
      <c r="I26" s="145">
        <v>7.5730014188830005E-2</v>
      </c>
      <c r="J26" s="145">
        <v>7.8307808472937793E-2</v>
      </c>
      <c r="K26" s="144">
        <v>9.1211592705442185E-2</v>
      </c>
      <c r="L26" s="135">
        <v>8.1033654284223017E-2</v>
      </c>
      <c r="M26" s="136">
        <v>7.0147061215390313E-2</v>
      </c>
      <c r="N26" s="125" t="s">
        <v>416</v>
      </c>
      <c r="O26" s="119"/>
    </row>
    <row r="27" spans="1:19" ht="36.75" customHeight="1" x14ac:dyDescent="0.2">
      <c r="A27" s="122" t="s">
        <v>149</v>
      </c>
      <c r="B27" s="108" t="s">
        <v>351</v>
      </c>
      <c r="C27" s="108" t="s">
        <v>352</v>
      </c>
      <c r="D27" s="108" t="s">
        <v>353</v>
      </c>
      <c r="E27" s="133">
        <v>0.92679999999999996</v>
      </c>
      <c r="F27" s="133">
        <v>0.9194</v>
      </c>
      <c r="G27" s="110"/>
      <c r="H27" s="144" t="e">
        <f>(#REF!-#REF!-#REF!-#REF!-#REF!)/#REF!</f>
        <v>#REF!</v>
      </c>
      <c r="I27" s="144">
        <v>0.86092381362179959</v>
      </c>
      <c r="J27" s="144">
        <v>0.90398994707695546</v>
      </c>
      <c r="K27" s="144">
        <v>0.85837753033464581</v>
      </c>
      <c r="L27" s="144">
        <v>0.91325213112656456</v>
      </c>
      <c r="M27" s="133">
        <v>0.93905941322186193</v>
      </c>
      <c r="N27" s="125" t="s">
        <v>287</v>
      </c>
      <c r="R27" s="147" t="s">
        <v>429</v>
      </c>
      <c r="S27" s="148">
        <f>F28*1.1</f>
        <v>0.55858000000000008</v>
      </c>
    </row>
    <row r="28" spans="1:19" ht="48" customHeight="1" x14ac:dyDescent="0.2">
      <c r="A28" s="122" t="s">
        <v>151</v>
      </c>
      <c r="B28" s="108" t="s">
        <v>347</v>
      </c>
      <c r="C28" s="108" t="s">
        <v>354</v>
      </c>
      <c r="D28" s="108" t="s">
        <v>355</v>
      </c>
      <c r="E28" s="120">
        <f>F28*1.1</f>
        <v>0.55858000000000008</v>
      </c>
      <c r="F28" s="118">
        <v>0.50780000000000003</v>
      </c>
      <c r="G28" s="110"/>
      <c r="H28" s="145" t="e">
        <f>('PYGCOM-CON AÑO ANTERIOR '!C41+'PYGCOM-CON AÑO ANTERIOR '!C91)/'PYGCOM-CON AÑO ANTERIOR '!C11</f>
        <v>#REF!</v>
      </c>
      <c r="I28" s="135">
        <v>0.50965101085098796</v>
      </c>
      <c r="J28" s="135">
        <v>0.49813983982672899</v>
      </c>
      <c r="K28" s="145">
        <v>0.57655009176873229</v>
      </c>
      <c r="L28" s="135">
        <v>0.46180158609400013</v>
      </c>
      <c r="M28" s="136">
        <v>0.4845795966028475</v>
      </c>
      <c r="N28" s="125" t="s">
        <v>415</v>
      </c>
      <c r="O28" s="98"/>
      <c r="P28" s="98"/>
      <c r="R28" s="147" t="s">
        <v>430</v>
      </c>
      <c r="S28" s="148">
        <f>F28*0.9</f>
        <v>0.45702000000000004</v>
      </c>
    </row>
    <row r="29" spans="1:19" ht="45" x14ac:dyDescent="0.2">
      <c r="A29" s="122" t="s">
        <v>152</v>
      </c>
      <c r="B29" s="108" t="s">
        <v>355</v>
      </c>
      <c r="C29" s="108" t="s">
        <v>354</v>
      </c>
      <c r="D29" s="108" t="s">
        <v>347</v>
      </c>
      <c r="E29" s="120">
        <f>F29*0.9</f>
        <v>0.12420000000000002</v>
      </c>
      <c r="F29" s="118">
        <v>0.13800000000000001</v>
      </c>
      <c r="G29" s="110"/>
      <c r="H29" s="145">
        <f>'PYGCOM-CON AÑO ANTERIOR '!C104/'PYGCOM-CON AÑO ANTERIOR '!C11</f>
        <v>8.9506058653131174E-2</v>
      </c>
      <c r="I29" s="144">
        <v>0.16186812045538215</v>
      </c>
      <c r="J29" s="145">
        <v>0.1341233704990015</v>
      </c>
      <c r="K29" s="145">
        <v>0.10859278388392321</v>
      </c>
      <c r="L29" s="135">
        <v>0.24418869911599983</v>
      </c>
      <c r="M29" s="136">
        <v>0.33939598808368682</v>
      </c>
      <c r="N29" s="125" t="s">
        <v>415</v>
      </c>
      <c r="R29" s="147" t="s">
        <v>429</v>
      </c>
      <c r="S29" s="148">
        <f>F29*1.1</f>
        <v>0.15180000000000002</v>
      </c>
    </row>
    <row r="30" spans="1:19" ht="45" x14ac:dyDescent="0.2">
      <c r="A30" s="122" t="s">
        <v>153</v>
      </c>
      <c r="B30" s="108" t="s">
        <v>356</v>
      </c>
      <c r="C30" s="108" t="s">
        <v>357</v>
      </c>
      <c r="D30" s="108" t="s">
        <v>358</v>
      </c>
      <c r="E30" s="133">
        <v>0.68089999999999995</v>
      </c>
      <c r="F30" s="133">
        <v>0.70650000000000002</v>
      </c>
      <c r="G30" s="110"/>
      <c r="H30" s="144">
        <f>('PYGCOM-CON AÑO ANTERIOR '!C9-'PYGCOM-CON AÑO ANTERIOR '!C19)/'PYGCOM-CON AÑO ANTERIOR '!C11</f>
        <v>0.5116811571797506</v>
      </c>
      <c r="I30" s="144">
        <v>0.6715191313063702</v>
      </c>
      <c r="J30" s="144">
        <v>0.63226321032573052</v>
      </c>
      <c r="K30" s="144">
        <v>0.65672089316117499</v>
      </c>
      <c r="L30" s="144">
        <v>0.68677161097119399</v>
      </c>
      <c r="M30" s="133">
        <v>0.80539693078806096</v>
      </c>
      <c r="N30" s="125" t="s">
        <v>417</v>
      </c>
      <c r="R30" s="147" t="s">
        <v>430</v>
      </c>
      <c r="S30" s="148">
        <f>F29*0.9</f>
        <v>0.12420000000000002</v>
      </c>
    </row>
    <row r="31" spans="1:19" x14ac:dyDescent="0.2">
      <c r="A31" s="132"/>
      <c r="B31" s="113"/>
      <c r="C31" s="113"/>
      <c r="D31" s="113"/>
      <c r="E31" s="138"/>
      <c r="F31" s="138"/>
      <c r="G31" s="110"/>
      <c r="H31" s="139"/>
      <c r="I31" s="139"/>
      <c r="J31" s="139"/>
      <c r="K31" s="139"/>
      <c r="L31" s="139"/>
      <c r="M31" s="139"/>
      <c r="N31" s="131"/>
    </row>
    <row r="32" spans="1:19" ht="46.5" customHeight="1" x14ac:dyDescent="0.2">
      <c r="A32" s="140" t="s">
        <v>420</v>
      </c>
      <c r="B32" s="1235" t="s">
        <v>418</v>
      </c>
      <c r="C32" s="1236"/>
      <c r="D32" s="1236"/>
      <c r="E32" s="1236"/>
      <c r="F32" s="1237"/>
      <c r="G32" s="110"/>
      <c r="H32" s="1235"/>
      <c r="I32" s="1236"/>
      <c r="J32" s="1236"/>
      <c r="K32" s="1236"/>
      <c r="L32" s="1237"/>
      <c r="M32" s="115"/>
    </row>
    <row r="33" spans="1:19" x14ac:dyDescent="0.2">
      <c r="A33" s="121"/>
      <c r="B33" s="1220" t="s">
        <v>409</v>
      </c>
      <c r="C33" s="1221"/>
      <c r="D33" s="1222"/>
      <c r="E33" s="1241" t="s">
        <v>386</v>
      </c>
      <c r="F33" s="1242"/>
      <c r="G33" s="102"/>
      <c r="H33" s="1234" t="s">
        <v>116</v>
      </c>
      <c r="I33" s="1234"/>
      <c r="J33" s="1234"/>
      <c r="K33" s="1234"/>
      <c r="L33" s="1234"/>
      <c r="M33" s="1234"/>
    </row>
    <row r="34" spans="1:19" x14ac:dyDescent="0.2">
      <c r="A34" s="121" t="s">
        <v>131</v>
      </c>
      <c r="B34" s="103" t="s">
        <v>128</v>
      </c>
      <c r="C34" s="104" t="s">
        <v>129</v>
      </c>
      <c r="D34" s="105" t="s">
        <v>130</v>
      </c>
      <c r="E34" s="123">
        <v>2008</v>
      </c>
      <c r="F34" s="123">
        <v>2009</v>
      </c>
      <c r="G34" s="106"/>
      <c r="H34" s="124">
        <v>40544</v>
      </c>
      <c r="I34" s="123">
        <v>2010</v>
      </c>
      <c r="J34" s="123">
        <v>2009</v>
      </c>
      <c r="K34" s="123">
        <v>2008</v>
      </c>
      <c r="L34" s="123">
        <v>2007</v>
      </c>
      <c r="M34" s="123">
        <v>2006</v>
      </c>
      <c r="N34" s="121" t="s">
        <v>410</v>
      </c>
    </row>
    <row r="35" spans="1:19" ht="22.5" x14ac:dyDescent="0.2">
      <c r="A35" s="122" t="s">
        <v>155</v>
      </c>
      <c r="B35" s="108" t="s">
        <v>359</v>
      </c>
      <c r="C35" s="108" t="s">
        <v>360</v>
      </c>
      <c r="D35" s="108" t="s">
        <v>156</v>
      </c>
      <c r="E35" s="120">
        <f>F35*1.1</f>
        <v>0.84865000000000002</v>
      </c>
      <c r="F35" s="118">
        <v>0.77149999999999996</v>
      </c>
      <c r="G35" s="110"/>
      <c r="H35" s="136" t="e">
        <f>#REF!/#REF!</f>
        <v>#REF!</v>
      </c>
      <c r="I35" s="136">
        <v>0.80394692237941001</v>
      </c>
      <c r="J35" s="136">
        <v>0.82974611630621686</v>
      </c>
      <c r="K35" s="136">
        <v>0.76875286808477883</v>
      </c>
      <c r="L35" s="136">
        <v>0.87113080910518959</v>
      </c>
      <c r="M35" s="136">
        <v>0.87284736671132324</v>
      </c>
      <c r="N35" s="125" t="s">
        <v>422</v>
      </c>
      <c r="O35" s="98"/>
      <c r="R35" s="147" t="s">
        <v>429</v>
      </c>
      <c r="S35" s="148">
        <f>F35*1.1</f>
        <v>0.84865000000000002</v>
      </c>
    </row>
    <row r="36" spans="1:19" ht="33.75" x14ac:dyDescent="0.2">
      <c r="A36" s="122" t="s">
        <v>167</v>
      </c>
      <c r="B36" s="108" t="s">
        <v>361</v>
      </c>
      <c r="C36" s="108" t="s">
        <v>362</v>
      </c>
      <c r="D36" s="108" t="s">
        <v>363</v>
      </c>
      <c r="E36" s="133">
        <v>0.20699999999999999</v>
      </c>
      <c r="F36" s="133">
        <v>0.20180000000000001</v>
      </c>
      <c r="G36" s="110"/>
      <c r="H36" s="144" t="e">
        <f>(#REF!-(#REF!+#REF!))/#REF!</f>
        <v>#REF!</v>
      </c>
      <c r="I36" s="144">
        <v>0.11973117267396446</v>
      </c>
      <c r="J36" s="144">
        <v>0.17045856615776023</v>
      </c>
      <c r="K36" s="144">
        <v>0.2024105515644542</v>
      </c>
      <c r="L36" s="144">
        <v>0.26637351092681211</v>
      </c>
      <c r="M36" s="133">
        <v>0.10312427764461372</v>
      </c>
      <c r="N36" s="125" t="s">
        <v>423</v>
      </c>
      <c r="R36" s="147" t="s">
        <v>430</v>
      </c>
      <c r="S36" s="148">
        <f>F35*0.9</f>
        <v>0.69435000000000002</v>
      </c>
    </row>
    <row r="37" spans="1:19" ht="33.75" x14ac:dyDescent="0.2">
      <c r="A37" s="122" t="s">
        <v>157</v>
      </c>
      <c r="B37" s="108" t="s">
        <v>364</v>
      </c>
      <c r="C37" s="108" t="s">
        <v>365</v>
      </c>
      <c r="D37" s="108" t="s">
        <v>366</v>
      </c>
      <c r="E37" s="134">
        <v>0.51590000000000003</v>
      </c>
      <c r="F37" s="134">
        <v>0.52739999999999998</v>
      </c>
      <c r="G37" s="110"/>
      <c r="H37" s="144" t="e">
        <f>#REF!/#REF!</f>
        <v>#REF!</v>
      </c>
      <c r="I37" s="144">
        <v>0.61745058582308254</v>
      </c>
      <c r="J37" s="135">
        <v>0.53350526574830126</v>
      </c>
      <c r="K37" s="145">
        <v>0.40836171530559051</v>
      </c>
      <c r="L37" s="145">
        <v>0.32263880712714382</v>
      </c>
      <c r="M37" s="134">
        <v>0.33382038771906986</v>
      </c>
      <c r="N37" s="125" t="s">
        <v>290</v>
      </c>
    </row>
    <row r="38" spans="1:19" ht="33.75" x14ac:dyDescent="0.2">
      <c r="A38" s="122" t="s">
        <v>384</v>
      </c>
      <c r="B38" s="108" t="s">
        <v>158</v>
      </c>
      <c r="C38" s="108" t="s">
        <v>159</v>
      </c>
      <c r="D38" s="108" t="s">
        <v>367</v>
      </c>
      <c r="E38" s="133">
        <v>4.58E-2</v>
      </c>
      <c r="F38" s="133">
        <v>3.6700000000000003E-2</v>
      </c>
      <c r="G38" s="110"/>
      <c r="H38" s="144" t="e">
        <f>#REF!/#REF!</f>
        <v>#REF!</v>
      </c>
      <c r="I38" s="144">
        <v>6.9511487525879323E-2</v>
      </c>
      <c r="J38" s="135">
        <v>0.12272707718177514</v>
      </c>
      <c r="K38" s="135">
        <v>0.12909726854825224</v>
      </c>
      <c r="L38" s="144">
        <v>0.21194195840919192</v>
      </c>
      <c r="M38" s="133">
        <v>5.8438687673452359E-2</v>
      </c>
      <c r="N38" s="125" t="s">
        <v>291</v>
      </c>
    </row>
    <row r="39" spans="1:19" ht="42.75" customHeight="1" x14ac:dyDescent="0.2">
      <c r="A39" s="122" t="s">
        <v>385</v>
      </c>
      <c r="B39" s="108" t="s">
        <v>161</v>
      </c>
      <c r="C39" s="108" t="s">
        <v>368</v>
      </c>
      <c r="D39" s="108" t="s">
        <v>369</v>
      </c>
      <c r="E39" s="134">
        <v>0.22090000000000001</v>
      </c>
      <c r="F39" s="134">
        <v>0.218</v>
      </c>
      <c r="G39" s="110"/>
      <c r="H39" s="144" t="e">
        <f>#REF!/#REF!</f>
        <v>#REF!</v>
      </c>
      <c r="I39" s="144">
        <v>0.18934168052584185</v>
      </c>
      <c r="J39" s="135">
        <v>0.21417764815321597</v>
      </c>
      <c r="K39" s="145">
        <v>0.29302999089873433</v>
      </c>
      <c r="L39" s="145">
        <v>0.29810666268825298</v>
      </c>
      <c r="M39" s="134">
        <v>0.41599951870252139</v>
      </c>
      <c r="N39" s="125" t="s">
        <v>292</v>
      </c>
    </row>
    <row r="40" spans="1:19" ht="33.75" x14ac:dyDescent="0.2">
      <c r="A40" s="122" t="s">
        <v>421</v>
      </c>
      <c r="B40" s="108" t="s">
        <v>163</v>
      </c>
      <c r="C40" s="108" t="s">
        <v>164</v>
      </c>
      <c r="D40" s="108" t="s">
        <v>165</v>
      </c>
      <c r="E40" s="136">
        <v>6.6100000000000006E-2</v>
      </c>
      <c r="F40" s="136">
        <v>6.59E-2</v>
      </c>
      <c r="G40" s="110"/>
      <c r="H40" s="135" t="e">
        <f>(#REF!-#REF!-(#REF!*80%)-(#REF!*80%))/#REF!</f>
        <v>#REF!</v>
      </c>
      <c r="I40" s="135">
        <v>7.3476560950663947E-2</v>
      </c>
      <c r="J40" s="135">
        <v>8.1858519911551589E-2</v>
      </c>
      <c r="K40" s="135">
        <v>9.6197742414831103E-2</v>
      </c>
      <c r="L40" s="144">
        <v>0.11288101925779118</v>
      </c>
      <c r="M40" s="133">
        <v>0.14705581584905883</v>
      </c>
      <c r="N40" s="125" t="s">
        <v>424</v>
      </c>
    </row>
    <row r="42" spans="1:19" x14ac:dyDescent="0.2">
      <c r="C42" s="147" t="s">
        <v>432</v>
      </c>
      <c r="D42" s="147" t="s">
        <v>431</v>
      </c>
    </row>
    <row r="43" spans="1:19" ht="12.75" x14ac:dyDescent="0.2">
      <c r="A43" s="107" t="s">
        <v>380</v>
      </c>
      <c r="B43" s="137">
        <v>0.23419999999999999</v>
      </c>
      <c r="C43" s="147">
        <v>0.8</v>
      </c>
      <c r="D43" s="149">
        <f>B43*C43</f>
        <v>0.18736</v>
      </c>
    </row>
    <row r="44" spans="1:19" ht="12.75" x14ac:dyDescent="0.2">
      <c r="A44" s="107" t="s">
        <v>412</v>
      </c>
      <c r="B44" s="137">
        <v>3.4200000000000001E-2</v>
      </c>
      <c r="C44" s="147">
        <v>1.5</v>
      </c>
      <c r="D44" s="149">
        <f>B44*C44</f>
        <v>5.1299999999999998E-2</v>
      </c>
    </row>
    <row r="48" spans="1:19" x14ac:dyDescent="0.2">
      <c r="B48" s="98"/>
    </row>
    <row r="49" spans="2:5" x14ac:dyDescent="0.2">
      <c r="B49" s="98"/>
      <c r="E49" s="97" t="s">
        <v>434</v>
      </c>
    </row>
    <row r="50" spans="2:5" x14ac:dyDescent="0.2">
      <c r="B50" s="98"/>
    </row>
  </sheetData>
  <mergeCells count="21">
    <mergeCell ref="B33:D33"/>
    <mergeCell ref="E33:F33"/>
    <mergeCell ref="H33:M33"/>
    <mergeCell ref="B11:D11"/>
    <mergeCell ref="E11:F11"/>
    <mergeCell ref="H18:L18"/>
    <mergeCell ref="B19:D19"/>
    <mergeCell ref="H11:M11"/>
    <mergeCell ref="B32:F32"/>
    <mergeCell ref="H19:M19"/>
    <mergeCell ref="B18:F18"/>
    <mergeCell ref="H32:L32"/>
    <mergeCell ref="E19:F19"/>
    <mergeCell ref="A2:L2"/>
    <mergeCell ref="B3:F3"/>
    <mergeCell ref="H5:M5"/>
    <mergeCell ref="B10:F10"/>
    <mergeCell ref="B5:D5"/>
    <mergeCell ref="H10:L10"/>
    <mergeCell ref="E5:F5"/>
    <mergeCell ref="H3:L3"/>
  </mergeCells>
  <phoneticPr fontId="28" type="noConversion"/>
  <pageMargins left="0.70866141732283472" right="0.70866141732283472" top="0.74803149606299213" bottom="0.74803149606299213" header="0.31496062992125984" footer="0.31496062992125984"/>
  <pageSetup paperSize="5" scale="9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9"/>
  <dimension ref="A1:K53"/>
  <sheetViews>
    <sheetView topLeftCell="C23" workbookViewId="0">
      <selection activeCell="H37" sqref="H37"/>
    </sheetView>
  </sheetViews>
  <sheetFormatPr baseColWidth="10" defaultRowHeight="12.75" x14ac:dyDescent="0.2"/>
  <cols>
    <col min="1" max="16384" width="11.5546875" style="75"/>
  </cols>
  <sheetData>
    <row r="1" spans="1:10" ht="18.75" x14ac:dyDescent="0.2">
      <c r="F1" s="76" t="s">
        <v>317</v>
      </c>
    </row>
    <row r="2" spans="1:10" x14ac:dyDescent="0.2">
      <c r="F2" s="77" t="s">
        <v>318</v>
      </c>
    </row>
    <row r="3" spans="1:10" x14ac:dyDescent="0.2">
      <c r="F3" s="77" t="s">
        <v>169</v>
      </c>
    </row>
    <row r="4" spans="1:10" ht="15.75" x14ac:dyDescent="0.2">
      <c r="F4" s="78" t="s">
        <v>319</v>
      </c>
    </row>
    <row r="5" spans="1:10" x14ac:dyDescent="0.2">
      <c r="G5" s="79" t="s">
        <v>320</v>
      </c>
    </row>
    <row r="6" spans="1:10" ht="15.75" x14ac:dyDescent="0.2">
      <c r="F6" s="80" t="s">
        <v>114</v>
      </c>
    </row>
    <row r="8" spans="1:10" x14ac:dyDescent="0.2">
      <c r="A8" s="81" t="s">
        <v>187</v>
      </c>
      <c r="C8" s="82" t="s">
        <v>188</v>
      </c>
      <c r="J8" s="83">
        <v>-677013987.74000001</v>
      </c>
    </row>
    <row r="9" spans="1:10" x14ac:dyDescent="0.2">
      <c r="B9" s="84" t="s">
        <v>189</v>
      </c>
      <c r="D9" s="85" t="s">
        <v>190</v>
      </c>
      <c r="J9" s="86">
        <v>-677013987.74000001</v>
      </c>
    </row>
    <row r="10" spans="1:10" x14ac:dyDescent="0.2">
      <c r="B10" s="84" t="s">
        <v>5</v>
      </c>
      <c r="D10" s="85" t="s">
        <v>6</v>
      </c>
      <c r="J10" s="86">
        <v>0</v>
      </c>
    </row>
    <row r="11" spans="1:10" x14ac:dyDescent="0.2">
      <c r="A11" s="81" t="s">
        <v>191</v>
      </c>
      <c r="C11" s="82" t="s">
        <v>192</v>
      </c>
      <c r="J11" s="83">
        <v>-3789003.71</v>
      </c>
    </row>
    <row r="12" spans="1:10" x14ac:dyDescent="0.2">
      <c r="B12" s="84" t="s">
        <v>193</v>
      </c>
      <c r="D12" s="85" t="s">
        <v>111</v>
      </c>
      <c r="J12" s="86">
        <v>-2130763.64</v>
      </c>
    </row>
    <row r="13" spans="1:10" x14ac:dyDescent="0.2">
      <c r="B13" s="84" t="s">
        <v>3</v>
      </c>
      <c r="D13" s="85" t="s">
        <v>4</v>
      </c>
      <c r="J13" s="86">
        <v>-541895</v>
      </c>
    </row>
    <row r="14" spans="1:10" x14ac:dyDescent="0.2">
      <c r="B14" s="84" t="s">
        <v>7</v>
      </c>
      <c r="D14" s="85" t="s">
        <v>252</v>
      </c>
      <c r="J14" s="86">
        <v>0</v>
      </c>
    </row>
    <row r="15" spans="1:10" x14ac:dyDescent="0.2">
      <c r="B15" s="84" t="s">
        <v>8</v>
      </c>
      <c r="D15" s="85" t="s">
        <v>113</v>
      </c>
      <c r="J15" s="86">
        <v>0</v>
      </c>
    </row>
    <row r="16" spans="1:10" x14ac:dyDescent="0.2">
      <c r="B16" s="84" t="s">
        <v>9</v>
      </c>
      <c r="D16" s="85" t="s">
        <v>72</v>
      </c>
      <c r="J16" s="86">
        <v>0</v>
      </c>
    </row>
    <row r="17" spans="1:10" x14ac:dyDescent="0.2">
      <c r="B17" s="84" t="s">
        <v>10</v>
      </c>
      <c r="D17" s="85" t="s">
        <v>11</v>
      </c>
      <c r="J17" s="86">
        <v>0</v>
      </c>
    </row>
    <row r="18" spans="1:10" x14ac:dyDescent="0.2">
      <c r="B18" s="84" t="s">
        <v>12</v>
      </c>
      <c r="D18" s="85" t="s">
        <v>124</v>
      </c>
      <c r="J18" s="86">
        <v>-382606.07</v>
      </c>
    </row>
    <row r="19" spans="1:10" x14ac:dyDescent="0.2">
      <c r="B19" s="84" t="s">
        <v>13</v>
      </c>
      <c r="D19" s="85" t="s">
        <v>14</v>
      </c>
      <c r="J19" s="86">
        <v>0</v>
      </c>
    </row>
    <row r="20" spans="1:10" x14ac:dyDescent="0.2">
      <c r="B20" s="84" t="s">
        <v>194</v>
      </c>
      <c r="D20" s="85" t="s">
        <v>115</v>
      </c>
      <c r="J20" s="86">
        <v>-733739</v>
      </c>
    </row>
    <row r="21" spans="1:10" x14ac:dyDescent="0.2">
      <c r="A21" s="81" t="s">
        <v>15</v>
      </c>
      <c r="C21" s="82" t="s">
        <v>16</v>
      </c>
      <c r="J21" s="83">
        <v>0</v>
      </c>
    </row>
    <row r="22" spans="1:10" x14ac:dyDescent="0.2">
      <c r="B22" s="84" t="s">
        <v>17</v>
      </c>
      <c r="D22" s="85" t="s">
        <v>16</v>
      </c>
      <c r="J22" s="86">
        <v>0</v>
      </c>
    </row>
    <row r="23" spans="1:10" ht="13.5" thickBot="1" x14ac:dyDescent="0.25">
      <c r="F23" s="87" t="s">
        <v>321</v>
      </c>
      <c r="J23" s="88">
        <v>-680802991.45000005</v>
      </c>
    </row>
    <row r="24" spans="1:10" ht="16.5" thickTop="1" x14ac:dyDescent="0.2">
      <c r="F24" s="80" t="s">
        <v>322</v>
      </c>
    </row>
    <row r="26" spans="1:10" x14ac:dyDescent="0.2">
      <c r="A26" s="81" t="s">
        <v>195</v>
      </c>
      <c r="C26" s="82" t="s">
        <v>196</v>
      </c>
      <c r="J26" s="83">
        <v>300796755.81</v>
      </c>
    </row>
    <row r="27" spans="1:10" x14ac:dyDescent="0.2">
      <c r="B27" s="84" t="s">
        <v>197</v>
      </c>
      <c r="D27" s="85" t="s">
        <v>198</v>
      </c>
      <c r="J27" s="86">
        <v>152352054.84</v>
      </c>
    </row>
    <row r="28" spans="1:10" x14ac:dyDescent="0.2">
      <c r="B28" s="84" t="s">
        <v>199</v>
      </c>
      <c r="D28" s="85" t="s">
        <v>200</v>
      </c>
      <c r="J28" s="86">
        <v>116963997.60000001</v>
      </c>
    </row>
    <row r="29" spans="1:10" x14ac:dyDescent="0.2">
      <c r="B29" s="84" t="s">
        <v>201</v>
      </c>
      <c r="D29" s="85" t="s">
        <v>202</v>
      </c>
      <c r="J29" s="86">
        <v>5249261.49</v>
      </c>
    </row>
    <row r="30" spans="1:10" x14ac:dyDescent="0.2">
      <c r="B30" s="84" t="s">
        <v>203</v>
      </c>
      <c r="D30" s="85" t="s">
        <v>97</v>
      </c>
      <c r="J30" s="86">
        <v>26231441.879999999</v>
      </c>
    </row>
    <row r="31" spans="1:10" x14ac:dyDescent="0.2">
      <c r="B31" s="84" t="s">
        <v>254</v>
      </c>
      <c r="D31" s="85" t="s">
        <v>206</v>
      </c>
      <c r="J31" s="86">
        <v>0</v>
      </c>
    </row>
    <row r="32" spans="1:10" x14ac:dyDescent="0.2">
      <c r="A32" s="81" t="s">
        <v>204</v>
      </c>
      <c r="C32" s="82" t="s">
        <v>106</v>
      </c>
      <c r="J32" s="83">
        <v>9005987.7699999996</v>
      </c>
    </row>
    <row r="33" spans="1:10" x14ac:dyDescent="0.2">
      <c r="B33" s="84" t="s">
        <v>205</v>
      </c>
      <c r="D33" s="85" t="s">
        <v>206</v>
      </c>
      <c r="J33" s="86">
        <v>9005987.7699999996</v>
      </c>
    </row>
    <row r="34" spans="1:10" x14ac:dyDescent="0.2">
      <c r="B34" s="84" t="s">
        <v>18</v>
      </c>
      <c r="D34" s="85" t="s">
        <v>19</v>
      </c>
      <c r="J34" s="86">
        <v>0</v>
      </c>
    </row>
    <row r="35" spans="1:10" x14ac:dyDescent="0.2">
      <c r="B35" s="84" t="s">
        <v>255</v>
      </c>
      <c r="D35" s="85" t="s">
        <v>253</v>
      </c>
      <c r="J35" s="86">
        <v>0</v>
      </c>
    </row>
    <row r="36" spans="1:10" x14ac:dyDescent="0.2">
      <c r="A36" s="81" t="s">
        <v>20</v>
      </c>
      <c r="C36" s="82" t="s">
        <v>256</v>
      </c>
      <c r="J36" s="83">
        <v>2317130</v>
      </c>
    </row>
    <row r="37" spans="1:10" x14ac:dyDescent="0.2">
      <c r="B37" s="84" t="s">
        <v>21</v>
      </c>
      <c r="D37" s="85" t="s">
        <v>256</v>
      </c>
      <c r="J37" s="86">
        <v>2317130</v>
      </c>
    </row>
    <row r="38" spans="1:10" x14ac:dyDescent="0.2">
      <c r="A38" s="81" t="s">
        <v>22</v>
      </c>
      <c r="C38" s="82" t="s">
        <v>23</v>
      </c>
      <c r="J38" s="83">
        <v>0</v>
      </c>
    </row>
    <row r="39" spans="1:10" x14ac:dyDescent="0.2">
      <c r="B39" s="84" t="s">
        <v>24</v>
      </c>
      <c r="D39" s="85" t="s">
        <v>23</v>
      </c>
      <c r="J39" s="86">
        <v>0</v>
      </c>
    </row>
    <row r="40" spans="1:10" x14ac:dyDescent="0.2">
      <c r="A40" s="81" t="s">
        <v>25</v>
      </c>
      <c r="C40" s="82" t="s">
        <v>186</v>
      </c>
      <c r="J40" s="83">
        <v>0</v>
      </c>
    </row>
    <row r="41" spans="1:10" x14ac:dyDescent="0.2">
      <c r="B41" s="84" t="s">
        <v>26</v>
      </c>
      <c r="D41" s="85" t="s">
        <v>186</v>
      </c>
      <c r="J41" s="86">
        <v>0</v>
      </c>
    </row>
    <row r="42" spans="1:10" x14ac:dyDescent="0.2">
      <c r="A42" s="81" t="s">
        <v>207</v>
      </c>
      <c r="C42" s="82" t="s">
        <v>208</v>
      </c>
      <c r="J42" s="83">
        <v>278744617.18000001</v>
      </c>
    </row>
    <row r="43" spans="1:10" x14ac:dyDescent="0.2">
      <c r="B43" s="84" t="s">
        <v>209</v>
      </c>
      <c r="D43" s="85" t="s">
        <v>210</v>
      </c>
      <c r="J43" s="86">
        <v>3324748</v>
      </c>
    </row>
    <row r="44" spans="1:10" x14ac:dyDescent="0.2">
      <c r="B44" s="84" t="s">
        <v>211</v>
      </c>
      <c r="D44" s="85" t="s">
        <v>212</v>
      </c>
      <c r="J44" s="86">
        <v>275419869.18000001</v>
      </c>
    </row>
    <row r="45" spans="1:10" ht="13.5" thickBot="1" x14ac:dyDescent="0.25">
      <c r="E45" s="87" t="s">
        <v>323</v>
      </c>
      <c r="J45" s="88">
        <v>590864490.75999999</v>
      </c>
    </row>
    <row r="46" spans="1:10" ht="14.25" thickTop="1" thickBot="1" x14ac:dyDescent="0.25">
      <c r="F46" s="87" t="s">
        <v>324</v>
      </c>
      <c r="J46" s="88">
        <v>-89938500.689999998</v>
      </c>
    </row>
    <row r="47" spans="1:10" ht="13.5" thickTop="1" x14ac:dyDescent="0.2">
      <c r="B47" s="77" t="s">
        <v>325</v>
      </c>
      <c r="I47" s="77" t="s">
        <v>326</v>
      </c>
    </row>
    <row r="48" spans="1:10" ht="16.5" x14ac:dyDescent="0.2">
      <c r="B48" s="89" t="s">
        <v>0</v>
      </c>
      <c r="F48" s="89" t="s">
        <v>112</v>
      </c>
      <c r="I48" s="89" t="s">
        <v>327</v>
      </c>
    </row>
    <row r="49" spans="1:11" x14ac:dyDescent="0.2">
      <c r="A49" s="90" t="s">
        <v>1</v>
      </c>
      <c r="B49" s="81" t="s">
        <v>328</v>
      </c>
    </row>
    <row r="50" spans="1:11" x14ac:dyDescent="0.2">
      <c r="A50" s="90" t="s">
        <v>2</v>
      </c>
      <c r="B50" s="91">
        <v>45556994</v>
      </c>
      <c r="E50" s="90" t="s">
        <v>1</v>
      </c>
      <c r="F50" s="92" t="s">
        <v>329</v>
      </c>
      <c r="H50" s="90" t="s">
        <v>2</v>
      </c>
      <c r="I50" s="91">
        <v>45514029</v>
      </c>
    </row>
    <row r="51" spans="1:11" x14ac:dyDescent="0.2">
      <c r="E51" s="90" t="s">
        <v>2</v>
      </c>
      <c r="F51" s="91">
        <v>73093190</v>
      </c>
    </row>
    <row r="53" spans="1:11" x14ac:dyDescent="0.2">
      <c r="K53" s="92" t="s">
        <v>213</v>
      </c>
    </row>
  </sheetData>
  <pageMargins left="0.24788568095654706" right="0.24788568095654706" top="0.24788568095654706" bottom="7.8462414420419652E-2"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0"/>
  <dimension ref="B2:F13"/>
  <sheetViews>
    <sheetView workbookViewId="0">
      <selection activeCell="B10" sqref="B10"/>
    </sheetView>
  </sheetViews>
  <sheetFormatPr baseColWidth="10" defaultRowHeight="15" x14ac:dyDescent="0.2"/>
  <cols>
    <col min="2" max="2" width="15.77734375" customWidth="1"/>
    <col min="6" max="6" width="12.33203125" customWidth="1"/>
  </cols>
  <sheetData>
    <row r="2" spans="2:6" ht="15.75" x14ac:dyDescent="0.25">
      <c r="B2" s="157" t="s">
        <v>471</v>
      </c>
    </row>
    <row r="3" spans="2:6" ht="15.75" x14ac:dyDescent="0.25">
      <c r="B3" s="182" t="s">
        <v>473</v>
      </c>
      <c r="C3" s="184" t="s">
        <v>468</v>
      </c>
      <c r="D3" s="184" t="s">
        <v>469</v>
      </c>
      <c r="E3" s="184" t="s">
        <v>470</v>
      </c>
    </row>
    <row r="4" spans="2:6" ht="15.75" x14ac:dyDescent="0.25">
      <c r="B4" s="185">
        <v>90</v>
      </c>
      <c r="C4" s="183">
        <v>0.08</v>
      </c>
      <c r="D4" s="183">
        <v>0.08</v>
      </c>
      <c r="E4" s="183">
        <v>9.7100000000000006E-2</v>
      </c>
      <c r="F4" s="181" t="s">
        <v>474</v>
      </c>
    </row>
    <row r="5" spans="2:6" ht="15.75" x14ac:dyDescent="0.25">
      <c r="B5" s="185">
        <v>180</v>
      </c>
      <c r="C5" s="183">
        <v>8.7499999999999994E-2</v>
      </c>
      <c r="D5" s="183">
        <v>8.7499999999999994E-2</v>
      </c>
      <c r="E5" s="183">
        <v>9.9599999999999994E-2</v>
      </c>
      <c r="F5" s="181" t="s">
        <v>475</v>
      </c>
    </row>
    <row r="6" spans="2:6" ht="15.75" x14ac:dyDescent="0.25">
      <c r="B6" s="185">
        <v>360</v>
      </c>
      <c r="C6" s="183">
        <v>0.09</v>
      </c>
      <c r="D6" s="183">
        <v>0.09</v>
      </c>
      <c r="E6" s="183">
        <v>0.1021</v>
      </c>
      <c r="F6" s="181" t="s">
        <v>476</v>
      </c>
    </row>
    <row r="9" spans="2:6" ht="15.75" x14ac:dyDescent="0.25">
      <c r="B9" s="186" t="s">
        <v>472</v>
      </c>
    </row>
    <row r="10" spans="2:6" ht="15.75" x14ac:dyDescent="0.25">
      <c r="B10" s="182" t="s">
        <v>473</v>
      </c>
      <c r="C10" s="184" t="s">
        <v>470</v>
      </c>
    </row>
    <row r="11" spans="2:6" ht="15.75" x14ac:dyDescent="0.25">
      <c r="B11" s="185">
        <v>90</v>
      </c>
      <c r="C11" s="183">
        <v>8.2000000000000003E-2</v>
      </c>
    </row>
    <row r="12" spans="2:6" ht="15.75" x14ac:dyDescent="0.25">
      <c r="B12" s="185">
        <v>180</v>
      </c>
      <c r="C12" s="183">
        <v>8.7999999999999995E-2</v>
      </c>
    </row>
    <row r="13" spans="2:6" ht="15.75" x14ac:dyDescent="0.25">
      <c r="B13" s="185">
        <v>360</v>
      </c>
      <c r="C13" s="183">
        <v>9.1999999999999998E-2</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1"/>
  <dimension ref="C2:F18"/>
  <sheetViews>
    <sheetView topLeftCell="A4" workbookViewId="0">
      <selection activeCell="C2" sqref="C2:F18"/>
    </sheetView>
  </sheetViews>
  <sheetFormatPr baseColWidth="10" defaultRowHeight="15" x14ac:dyDescent="0.2"/>
  <cols>
    <col min="3" max="3" width="18" customWidth="1"/>
    <col min="4" max="4" width="12.77734375" customWidth="1"/>
    <col min="5" max="5" width="14.109375" bestFit="1" customWidth="1"/>
  </cols>
  <sheetData>
    <row r="2" spans="3:6" x14ac:dyDescent="0.2">
      <c r="D2" s="1244" t="s">
        <v>485</v>
      </c>
      <c r="E2" s="1244"/>
    </row>
    <row r="3" spans="3:6" x14ac:dyDescent="0.2">
      <c r="C3" s="187" t="s">
        <v>477</v>
      </c>
      <c r="D3" s="190" t="s">
        <v>217</v>
      </c>
      <c r="E3" s="190" t="s">
        <v>486</v>
      </c>
      <c r="F3" s="190" t="s">
        <v>487</v>
      </c>
    </row>
    <row r="4" spans="3:6" x14ac:dyDescent="0.2">
      <c r="C4" s="188" t="s">
        <v>478</v>
      </c>
      <c r="D4" s="191">
        <v>410000000</v>
      </c>
      <c r="E4" s="192">
        <f>224802385+267822132</f>
        <v>492624517</v>
      </c>
      <c r="F4" s="149">
        <f>E4/D4</f>
        <v>1.201523212195122</v>
      </c>
    </row>
    <row r="5" spans="3:6" x14ac:dyDescent="0.2">
      <c r="C5" s="188" t="s">
        <v>479</v>
      </c>
      <c r="D5" s="191">
        <v>84000000</v>
      </c>
      <c r="E5" s="191"/>
      <c r="F5" s="149">
        <f t="shared" ref="F5:F10" si="0">E5/D5</f>
        <v>0</v>
      </c>
    </row>
    <row r="6" spans="3:6" x14ac:dyDescent="0.2">
      <c r="C6" s="189" t="s">
        <v>480</v>
      </c>
      <c r="D6" s="192">
        <v>100000000</v>
      </c>
      <c r="E6" s="192">
        <v>98744845</v>
      </c>
      <c r="F6" s="149">
        <f t="shared" si="0"/>
        <v>0.98744845000000003</v>
      </c>
    </row>
    <row r="7" spans="3:6" x14ac:dyDescent="0.2">
      <c r="C7" s="189" t="s">
        <v>481</v>
      </c>
      <c r="D7" s="192">
        <v>33000000</v>
      </c>
      <c r="E7" s="192">
        <v>3458683</v>
      </c>
      <c r="F7" s="149">
        <f t="shared" si="0"/>
        <v>0.10480857575757575</v>
      </c>
    </row>
    <row r="8" spans="3:6" x14ac:dyDescent="0.2">
      <c r="C8" s="189" t="s">
        <v>482</v>
      </c>
      <c r="D8" s="192">
        <v>8000000</v>
      </c>
      <c r="E8" s="192"/>
      <c r="F8" s="149">
        <f t="shared" si="0"/>
        <v>0</v>
      </c>
    </row>
    <row r="9" spans="3:6" x14ac:dyDescent="0.2">
      <c r="C9" s="189" t="s">
        <v>483</v>
      </c>
      <c r="D9" s="192">
        <v>20000000</v>
      </c>
      <c r="E9" s="191">
        <v>13368816</v>
      </c>
      <c r="F9" s="149">
        <f t="shared" si="0"/>
        <v>0.66844079999999995</v>
      </c>
    </row>
    <row r="10" spans="3:6" x14ac:dyDescent="0.2">
      <c r="C10" s="189" t="s">
        <v>484</v>
      </c>
      <c r="D10" s="192">
        <v>30000000</v>
      </c>
      <c r="E10" s="191">
        <v>19767939</v>
      </c>
      <c r="F10" s="149">
        <f t="shared" si="0"/>
        <v>0.6589313</v>
      </c>
    </row>
    <row r="11" spans="3:6" x14ac:dyDescent="0.2">
      <c r="D11" s="181"/>
      <c r="E11" s="192"/>
      <c r="F11" s="181"/>
    </row>
    <row r="12" spans="3:6" x14ac:dyDescent="0.2">
      <c r="D12" s="192">
        <f>SUM(D4:D11)</f>
        <v>685000000</v>
      </c>
      <c r="E12" s="192">
        <f>SUM(E4:E10)</f>
        <v>627964800</v>
      </c>
      <c r="F12" s="149">
        <f>E12/D12</f>
        <v>0.91673693430656933</v>
      </c>
    </row>
    <row r="14" spans="3:6" x14ac:dyDescent="0.2">
      <c r="C14" t="s">
        <v>489</v>
      </c>
      <c r="D14" s="192">
        <f>D12-E12</f>
        <v>57035200</v>
      </c>
    </row>
    <row r="16" spans="3:6" x14ac:dyDescent="0.2">
      <c r="C16" t="s">
        <v>488</v>
      </c>
      <c r="D16" s="192">
        <v>71172434</v>
      </c>
    </row>
    <row r="18" spans="3:4" x14ac:dyDescent="0.2">
      <c r="C18" t="s">
        <v>490</v>
      </c>
      <c r="D18" s="193">
        <f>D14+D16</f>
        <v>128207634</v>
      </c>
    </row>
  </sheetData>
  <mergeCells count="1">
    <mergeCell ref="D2:E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22"/>
  <dimension ref="B1:F37"/>
  <sheetViews>
    <sheetView topLeftCell="A30" workbookViewId="0">
      <selection activeCell="F40" sqref="F40"/>
    </sheetView>
  </sheetViews>
  <sheetFormatPr baseColWidth="10" defaultRowHeight="15" x14ac:dyDescent="0.2"/>
  <cols>
    <col min="1" max="1" width="11" customWidth="1"/>
    <col min="2" max="2" width="4.21875" customWidth="1"/>
    <col min="3" max="3" width="21.44140625" customWidth="1"/>
    <col min="4" max="4" width="10.109375" customWidth="1"/>
    <col min="5" max="6" width="8.6640625" customWidth="1"/>
  </cols>
  <sheetData>
    <row r="1" spans="2:6" x14ac:dyDescent="0.2">
      <c r="C1" s="214"/>
    </row>
    <row r="3" spans="2:6" x14ac:dyDescent="0.2">
      <c r="C3" s="260" t="s">
        <v>555</v>
      </c>
      <c r="D3" s="1246" t="s">
        <v>556</v>
      </c>
      <c r="E3" s="1246"/>
    </row>
    <row r="4" spans="2:6" ht="46.15" customHeight="1" x14ac:dyDescent="0.2">
      <c r="C4" s="258" t="s">
        <v>559</v>
      </c>
      <c r="D4" s="255" t="s">
        <v>557</v>
      </c>
      <c r="E4" s="256" t="s">
        <v>558</v>
      </c>
    </row>
    <row r="5" spans="2:6" ht="18.600000000000001" customHeight="1" x14ac:dyDescent="0.2">
      <c r="B5" s="1245" t="s">
        <v>565</v>
      </c>
      <c r="C5" s="181" t="s">
        <v>527</v>
      </c>
      <c r="D5" s="251">
        <v>3.1300000000000001E-2</v>
      </c>
      <c r="E5" s="252">
        <v>2.58E-2</v>
      </c>
    </row>
    <row r="6" spans="2:6" ht="21" customHeight="1" x14ac:dyDescent="0.2">
      <c r="B6" s="1245"/>
      <c r="C6" s="181" t="s">
        <v>551</v>
      </c>
      <c r="D6" s="252">
        <v>0.52580000000000005</v>
      </c>
      <c r="E6" s="252">
        <v>0.56100000000000005</v>
      </c>
    </row>
    <row r="7" spans="2:6" ht="15.6" customHeight="1" x14ac:dyDescent="0.2">
      <c r="B7" s="1245"/>
      <c r="C7" s="181" t="s">
        <v>552</v>
      </c>
      <c r="D7" s="251">
        <v>0.2014</v>
      </c>
      <c r="E7" s="251">
        <v>0.1661</v>
      </c>
    </row>
    <row r="8" spans="2:6" x14ac:dyDescent="0.2">
      <c r="D8" s="207"/>
      <c r="E8" s="207"/>
    </row>
    <row r="9" spans="2:6" x14ac:dyDescent="0.2">
      <c r="B9" s="1245" t="s">
        <v>566</v>
      </c>
      <c r="C9" s="181" t="s">
        <v>553</v>
      </c>
      <c r="D9" s="251">
        <v>0.1</v>
      </c>
      <c r="E9" s="251">
        <v>0.1</v>
      </c>
    </row>
    <row r="10" spans="2:6" x14ac:dyDescent="0.2">
      <c r="B10" s="1245"/>
      <c r="C10" s="181" t="s">
        <v>554</v>
      </c>
      <c r="D10" s="251">
        <v>0.59199999999999997</v>
      </c>
      <c r="E10" s="251">
        <v>0.59199999999999997</v>
      </c>
    </row>
    <row r="11" spans="2:6" x14ac:dyDescent="0.2">
      <c r="B11" s="1245"/>
      <c r="C11" s="181" t="s">
        <v>567</v>
      </c>
      <c r="D11" s="252">
        <v>0.43340000000000001</v>
      </c>
      <c r="E11" s="252">
        <v>0.43340000000000001</v>
      </c>
    </row>
    <row r="16" spans="2:6" x14ac:dyDescent="0.2">
      <c r="C16" s="259" t="s">
        <v>563</v>
      </c>
      <c r="D16" s="1246" t="s">
        <v>556</v>
      </c>
      <c r="E16" s="1246"/>
      <c r="F16" s="1246"/>
    </row>
    <row r="17" spans="2:6" ht="77.45" customHeight="1" x14ac:dyDescent="0.2">
      <c r="C17" s="257" t="s">
        <v>560</v>
      </c>
      <c r="D17" s="262" t="s">
        <v>557</v>
      </c>
      <c r="E17" s="261" t="s">
        <v>561</v>
      </c>
      <c r="F17" s="261" t="s">
        <v>562</v>
      </c>
    </row>
    <row r="18" spans="2:6" ht="18" customHeight="1" x14ac:dyDescent="0.2">
      <c r="B18" s="1245" t="s">
        <v>565</v>
      </c>
      <c r="C18" s="181" t="s">
        <v>527</v>
      </c>
      <c r="D18" s="251">
        <v>3.1300000000000001E-2</v>
      </c>
      <c r="E18" s="252">
        <v>2.6700000000000002E-2</v>
      </c>
      <c r="F18" s="252">
        <v>2.6700000000000002E-2</v>
      </c>
    </row>
    <row r="19" spans="2:6" ht="18" customHeight="1" x14ac:dyDescent="0.2">
      <c r="B19" s="1245"/>
      <c r="C19" s="181" t="s">
        <v>551</v>
      </c>
      <c r="D19" s="252">
        <v>0.52580000000000005</v>
      </c>
      <c r="E19" s="252">
        <v>0.54530000000000001</v>
      </c>
      <c r="F19" s="252">
        <v>0.54530000000000001</v>
      </c>
    </row>
    <row r="20" spans="2:6" ht="17.45" customHeight="1" x14ac:dyDescent="0.2">
      <c r="B20" s="1245"/>
      <c r="C20" s="181" t="s">
        <v>552</v>
      </c>
      <c r="D20" s="251">
        <v>0.2014</v>
      </c>
      <c r="E20" s="251">
        <v>0.1731</v>
      </c>
      <c r="F20" s="251">
        <v>0.1731</v>
      </c>
    </row>
    <row r="21" spans="2:6" x14ac:dyDescent="0.2">
      <c r="D21" s="207"/>
      <c r="E21" s="207"/>
    </row>
    <row r="22" spans="2:6" x14ac:dyDescent="0.2">
      <c r="B22" s="1245" t="s">
        <v>566</v>
      </c>
      <c r="C22" s="181" t="s">
        <v>553</v>
      </c>
      <c r="D22" s="251">
        <v>0.1</v>
      </c>
      <c r="E22" s="251">
        <v>0.1249</v>
      </c>
      <c r="F22" s="251">
        <v>0.15620000000000001</v>
      </c>
    </row>
    <row r="23" spans="2:6" x14ac:dyDescent="0.2">
      <c r="B23" s="1245"/>
      <c r="C23" s="181" t="s">
        <v>554</v>
      </c>
      <c r="D23" s="251">
        <v>0.59199999999999997</v>
      </c>
      <c r="E23" s="251">
        <v>0.58640000000000003</v>
      </c>
      <c r="F23" s="251">
        <v>0.55590000000000006</v>
      </c>
    </row>
    <row r="24" spans="2:6" x14ac:dyDescent="0.2">
      <c r="B24" s="1245"/>
      <c r="C24" s="181" t="s">
        <v>567</v>
      </c>
      <c r="D24" s="252">
        <v>0.43340000000000001</v>
      </c>
      <c r="E24" s="252">
        <v>0.46750000000000003</v>
      </c>
      <c r="F24" s="252">
        <v>0.46899999999999997</v>
      </c>
    </row>
    <row r="29" spans="2:6" x14ac:dyDescent="0.2">
      <c r="C29" s="263" t="s">
        <v>568</v>
      </c>
      <c r="D29" s="1246" t="s">
        <v>556</v>
      </c>
      <c r="E29" s="1246"/>
      <c r="F29" s="1246"/>
    </row>
    <row r="30" spans="2:6" ht="78" customHeight="1" x14ac:dyDescent="0.2">
      <c r="C30" s="254" t="s">
        <v>564</v>
      </c>
      <c r="D30" s="262" t="s">
        <v>557</v>
      </c>
      <c r="E30" s="261" t="s">
        <v>561</v>
      </c>
      <c r="F30" s="261" t="s">
        <v>562</v>
      </c>
    </row>
    <row r="31" spans="2:6" ht="19.899999999999999" customHeight="1" x14ac:dyDescent="0.2">
      <c r="B31" s="1245" t="s">
        <v>565</v>
      </c>
      <c r="C31" s="181" t="s">
        <v>527</v>
      </c>
      <c r="D31" s="251">
        <v>3.1300000000000001E-2</v>
      </c>
      <c r="E31" s="252">
        <v>2.75E-2</v>
      </c>
      <c r="F31" s="252">
        <v>2.75E-2</v>
      </c>
    </row>
    <row r="32" spans="2:6" ht="17.45" customHeight="1" x14ac:dyDescent="0.2">
      <c r="B32" s="1245"/>
      <c r="C32" s="181" t="s">
        <v>551</v>
      </c>
      <c r="D32" s="252">
        <v>0.52580000000000005</v>
      </c>
      <c r="E32" s="252">
        <v>0.53039999999999998</v>
      </c>
      <c r="F32" s="252">
        <v>0.53039999999999998</v>
      </c>
    </row>
    <row r="33" spans="2:6" ht="16.149999999999999" customHeight="1" x14ac:dyDescent="0.2">
      <c r="B33" s="1245"/>
      <c r="C33" s="181" t="s">
        <v>552</v>
      </c>
      <c r="D33" s="251">
        <v>0.2014</v>
      </c>
      <c r="E33" s="251">
        <v>0.1797</v>
      </c>
      <c r="F33" s="251">
        <v>0.1797</v>
      </c>
    </row>
    <row r="34" spans="2:6" x14ac:dyDescent="0.2">
      <c r="D34" s="207"/>
      <c r="E34" s="207"/>
    </row>
    <row r="35" spans="2:6" x14ac:dyDescent="0.2">
      <c r="B35" s="1245" t="s">
        <v>566</v>
      </c>
      <c r="C35" s="181" t="s">
        <v>553</v>
      </c>
      <c r="D35" s="251">
        <v>0.1</v>
      </c>
      <c r="E35" s="252">
        <v>0.1462</v>
      </c>
      <c r="F35" s="253">
        <v>0.20580000000000001</v>
      </c>
    </row>
    <row r="36" spans="2:6" x14ac:dyDescent="0.2">
      <c r="B36" s="1245"/>
      <c r="C36" s="181" t="s">
        <v>554</v>
      </c>
      <c r="D36" s="251">
        <v>0.59199999999999997</v>
      </c>
      <c r="E36" s="251">
        <v>0.57889999999999997</v>
      </c>
      <c r="F36" s="252">
        <v>0.52359999999999995</v>
      </c>
    </row>
    <row r="37" spans="2:6" x14ac:dyDescent="0.2">
      <c r="B37" s="1245"/>
      <c r="C37" s="181" t="s">
        <v>567</v>
      </c>
      <c r="D37" s="252">
        <v>0.43340000000000001</v>
      </c>
      <c r="E37" s="252">
        <v>0.49759999999999999</v>
      </c>
      <c r="F37" s="253">
        <v>0.50049999999999994</v>
      </c>
    </row>
  </sheetData>
  <mergeCells count="9">
    <mergeCell ref="B35:B37"/>
    <mergeCell ref="B31:B33"/>
    <mergeCell ref="D3:E3"/>
    <mergeCell ref="D16:F16"/>
    <mergeCell ref="D29:F29"/>
    <mergeCell ref="B5:B7"/>
    <mergeCell ref="B9:B11"/>
    <mergeCell ref="B18:B20"/>
    <mergeCell ref="B22:B2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23"/>
  <dimension ref="A1:U50"/>
  <sheetViews>
    <sheetView topLeftCell="A14" zoomScale="130" zoomScaleNormal="130" workbookViewId="0">
      <selection activeCell="A14" sqref="A14"/>
    </sheetView>
  </sheetViews>
  <sheetFormatPr baseColWidth="10" defaultRowHeight="11.25" x14ac:dyDescent="0.2"/>
  <cols>
    <col min="1" max="1" width="13.77734375" style="97" customWidth="1"/>
    <col min="2" max="2" width="9.44140625" style="97" customWidth="1"/>
    <col min="3" max="3" width="11.77734375" style="97" customWidth="1"/>
    <col min="4" max="4" width="8.77734375" style="97" customWidth="1"/>
    <col min="5" max="5" width="5.5546875" style="97" customWidth="1"/>
    <col min="6" max="6" width="4.77734375" style="97" customWidth="1"/>
    <col min="7" max="7" width="1.21875" style="97" customWidth="1"/>
    <col min="8" max="10" width="6.109375" style="98" customWidth="1"/>
    <col min="11" max="11" width="5.21875" style="97" customWidth="1"/>
    <col min="12" max="12" width="4.88671875" style="97" bestFit="1" customWidth="1"/>
    <col min="13" max="13" width="5.33203125" style="97" hidden="1" customWidth="1"/>
    <col min="14" max="15" width="4.88671875" style="97" hidden="1" customWidth="1"/>
    <col min="16" max="16" width="40.77734375" style="97" customWidth="1"/>
    <col min="17" max="16384" width="11.5546875" style="97"/>
  </cols>
  <sheetData>
    <row r="1" spans="1:17" ht="12" thickBot="1" x14ac:dyDescent="0.25"/>
    <row r="2" spans="1:17" ht="12" thickBot="1" x14ac:dyDescent="0.25">
      <c r="A2" s="1229" t="s">
        <v>582</v>
      </c>
      <c r="B2" s="1230"/>
      <c r="C2" s="1230"/>
      <c r="D2" s="1230"/>
      <c r="E2" s="1230"/>
      <c r="F2" s="1230"/>
      <c r="G2" s="1231"/>
      <c r="H2" s="1231"/>
      <c r="I2" s="1231"/>
      <c r="J2" s="1231"/>
      <c r="K2" s="1231"/>
      <c r="L2" s="1231"/>
      <c r="M2" s="1231"/>
      <c r="N2" s="1232"/>
    </row>
    <row r="3" spans="1:17" ht="33" customHeight="1" x14ac:dyDescent="0.2">
      <c r="A3" s="158" t="s">
        <v>452</v>
      </c>
      <c r="B3" s="1233" t="s">
        <v>433</v>
      </c>
      <c r="C3" s="1233"/>
      <c r="D3" s="1233"/>
      <c r="E3" s="1233"/>
      <c r="F3" s="1233"/>
      <c r="H3" s="1243"/>
      <c r="I3" s="1243"/>
      <c r="J3" s="1243"/>
      <c r="K3" s="1243"/>
      <c r="L3" s="1243"/>
      <c r="M3" s="1243"/>
      <c r="N3" s="1243"/>
    </row>
    <row r="4" spans="1:17" ht="6" customHeight="1" x14ac:dyDescent="0.2">
      <c r="A4" s="100"/>
      <c r="G4" s="101"/>
    </row>
    <row r="5" spans="1:17" ht="21" customHeight="1" x14ac:dyDescent="0.2">
      <c r="A5" s="121"/>
      <c r="B5" s="1220" t="s">
        <v>409</v>
      </c>
      <c r="C5" s="1221"/>
      <c r="D5" s="1222"/>
      <c r="E5" s="1241" t="s">
        <v>386</v>
      </c>
      <c r="F5" s="1242"/>
      <c r="G5" s="102"/>
      <c r="H5" s="1234" t="s">
        <v>569</v>
      </c>
      <c r="I5" s="1234"/>
      <c r="J5" s="1234"/>
      <c r="K5" s="1234"/>
      <c r="L5" s="1234"/>
      <c r="M5" s="1234"/>
      <c r="N5" s="1234"/>
      <c r="O5" s="1234"/>
    </row>
    <row r="6" spans="1:17" x14ac:dyDescent="0.2">
      <c r="A6" s="121" t="s">
        <v>131</v>
      </c>
      <c r="B6" s="103" t="s">
        <v>128</v>
      </c>
      <c r="C6" s="104" t="s">
        <v>129</v>
      </c>
      <c r="D6" s="105" t="s">
        <v>130</v>
      </c>
      <c r="E6" s="123">
        <v>2008</v>
      </c>
      <c r="F6" s="123">
        <v>2009</v>
      </c>
      <c r="G6" s="106"/>
      <c r="H6" s="124">
        <v>40940</v>
      </c>
      <c r="I6" s="124">
        <v>40909</v>
      </c>
      <c r="J6" s="175">
        <v>2011</v>
      </c>
      <c r="K6" s="123">
        <v>2010</v>
      </c>
      <c r="L6" s="123">
        <v>2009</v>
      </c>
      <c r="M6" s="123">
        <v>2008</v>
      </c>
      <c r="N6" s="123">
        <v>2007</v>
      </c>
      <c r="O6" s="123">
        <v>2006</v>
      </c>
      <c r="P6" s="159" t="s">
        <v>410</v>
      </c>
    </row>
    <row r="7" spans="1:17" ht="48" customHeight="1" x14ac:dyDescent="0.2">
      <c r="A7" s="122" t="s">
        <v>29</v>
      </c>
      <c r="B7" s="108" t="s">
        <v>133</v>
      </c>
      <c r="C7" s="108" t="s">
        <v>134</v>
      </c>
      <c r="D7" s="108" t="s">
        <v>330</v>
      </c>
      <c r="E7" s="160">
        <v>7.4499999999999997E-2</v>
      </c>
      <c r="F7" s="160">
        <v>8.7999999999999995E-2</v>
      </c>
      <c r="G7" s="110"/>
      <c r="H7" s="141">
        <f>'BALANCE AÑO ANTERIOR'!D12/'BALANCE AÑO ANTERIOR'!D52</f>
        <v>1.3648523780058297E-3</v>
      </c>
      <c r="I7" s="141">
        <v>3.7724050222291472E-2</v>
      </c>
      <c r="J7" s="161">
        <v>6.1319055463290244E-2</v>
      </c>
      <c r="K7" s="161">
        <v>5.5742606531176471E-2</v>
      </c>
      <c r="L7" s="141">
        <v>5.4690224615622209E-2</v>
      </c>
      <c r="M7" s="141">
        <v>5.7968362072337361E-2</v>
      </c>
      <c r="N7" s="141">
        <v>3.9897200718421649E-2</v>
      </c>
      <c r="O7" s="160">
        <v>4.0356338886012845E-2</v>
      </c>
      <c r="P7" s="162" t="s">
        <v>570</v>
      </c>
      <c r="Q7" s="98"/>
    </row>
    <row r="8" spans="1:17" ht="56.45" customHeight="1" x14ac:dyDescent="0.2">
      <c r="A8" s="122" t="s">
        <v>135</v>
      </c>
      <c r="B8" s="108" t="s">
        <v>331</v>
      </c>
      <c r="C8" s="108" t="s">
        <v>332</v>
      </c>
      <c r="D8" s="108" t="s">
        <v>165</v>
      </c>
      <c r="E8" s="160">
        <v>0.1273</v>
      </c>
      <c r="F8" s="160">
        <v>0.14630000000000001</v>
      </c>
      <c r="G8" s="110"/>
      <c r="H8" s="174">
        <f>('BALANCE AÑO ANTERIOR'!D8+'BALANCE AÑO ANTERIOR'!D13)/'BALANCE AÑO ANTERIOR'!D52</f>
        <v>0.13556482104680626</v>
      </c>
      <c r="I8" s="174">
        <v>4.987612742927866E-2</v>
      </c>
      <c r="J8" s="176">
        <v>9.4847694435337027E-2</v>
      </c>
      <c r="K8" s="161">
        <v>0.12077836766671537</v>
      </c>
      <c r="L8" s="111">
        <v>7.8041949727960497E-2</v>
      </c>
      <c r="M8" s="141">
        <v>0.1055947984861985</v>
      </c>
      <c r="N8" s="111">
        <v>5.7760676102872034E-2</v>
      </c>
      <c r="O8" s="111">
        <v>9.393443665538824E-2</v>
      </c>
      <c r="P8" s="162" t="s">
        <v>464</v>
      </c>
      <c r="Q8" s="98"/>
    </row>
    <row r="9" spans="1:17" x14ac:dyDescent="0.2">
      <c r="A9" s="112"/>
      <c r="B9" s="113"/>
      <c r="C9" s="113"/>
      <c r="D9" s="113"/>
      <c r="E9" s="114"/>
      <c r="F9" s="114"/>
      <c r="G9" s="110"/>
      <c r="H9" s="114"/>
      <c r="I9" s="114"/>
      <c r="J9" s="114"/>
      <c r="K9" s="115"/>
      <c r="L9" s="115"/>
      <c r="M9" s="114"/>
      <c r="N9" s="115"/>
      <c r="O9" s="115"/>
      <c r="Q9" s="98"/>
    </row>
    <row r="10" spans="1:17" ht="32.450000000000003" customHeight="1" x14ac:dyDescent="0.2">
      <c r="A10" s="158" t="s">
        <v>136</v>
      </c>
      <c r="B10" s="1235" t="s">
        <v>408</v>
      </c>
      <c r="C10" s="1236"/>
      <c r="D10" s="1236"/>
      <c r="E10" s="1236"/>
      <c r="F10" s="1237"/>
      <c r="G10" s="110"/>
      <c r="H10" s="1238"/>
      <c r="I10" s="1239"/>
      <c r="J10" s="1239"/>
      <c r="K10" s="1239"/>
      <c r="L10" s="1239"/>
      <c r="M10" s="1239"/>
      <c r="N10" s="1240"/>
      <c r="O10" s="115"/>
      <c r="Q10" s="98"/>
    </row>
    <row r="11" spans="1:17" x14ac:dyDescent="0.2">
      <c r="A11" s="121"/>
      <c r="B11" s="1220" t="s">
        <v>409</v>
      </c>
      <c r="C11" s="1221"/>
      <c r="D11" s="1222"/>
      <c r="E11" s="1241" t="s">
        <v>386</v>
      </c>
      <c r="F11" s="1242"/>
      <c r="G11" s="102"/>
      <c r="H11" s="1234" t="s">
        <v>581</v>
      </c>
      <c r="I11" s="1234"/>
      <c r="J11" s="1234"/>
      <c r="K11" s="1234"/>
      <c r="L11" s="1234"/>
      <c r="M11" s="1234"/>
      <c r="N11" s="1234"/>
      <c r="O11" s="1234"/>
      <c r="Q11" s="98"/>
    </row>
    <row r="12" spans="1:17" x14ac:dyDescent="0.2">
      <c r="A12" s="121" t="s">
        <v>131</v>
      </c>
      <c r="B12" s="103" t="s">
        <v>128</v>
      </c>
      <c r="C12" s="104" t="s">
        <v>129</v>
      </c>
      <c r="D12" s="105" t="s">
        <v>130</v>
      </c>
      <c r="E12" s="123">
        <v>2008</v>
      </c>
      <c r="F12" s="123">
        <v>2009</v>
      </c>
      <c r="G12" s="106"/>
      <c r="H12" s="124">
        <f>H6</f>
        <v>40940</v>
      </c>
      <c r="I12" s="124">
        <f>I6</f>
        <v>40909</v>
      </c>
      <c r="J12" s="123">
        <f>J6</f>
        <v>2011</v>
      </c>
      <c r="K12" s="123">
        <v>2010</v>
      </c>
      <c r="L12" s="123">
        <v>2009</v>
      </c>
      <c r="M12" s="123">
        <v>2008</v>
      </c>
      <c r="N12" s="123">
        <v>2007</v>
      </c>
      <c r="O12" s="123">
        <v>2006</v>
      </c>
      <c r="P12" s="159" t="s">
        <v>410</v>
      </c>
      <c r="Q12" s="98"/>
    </row>
    <row r="13" spans="1:17" ht="57.6" customHeight="1" x14ac:dyDescent="0.2">
      <c r="A13" s="163" t="s">
        <v>137</v>
      </c>
      <c r="B13" s="108" t="s">
        <v>333</v>
      </c>
      <c r="C13" s="108" t="s">
        <v>334</v>
      </c>
      <c r="D13" s="108" t="s">
        <v>138</v>
      </c>
      <c r="E13" s="111">
        <v>3.1800000000000002E-2</v>
      </c>
      <c r="F13" s="111">
        <v>3.1600000000000003E-2</v>
      </c>
      <c r="G13" s="110"/>
      <c r="H13" s="141">
        <f>((SUM('BALANCE AÑO ANTERIOR'!D23:D26))/'BALANCE AÑO ANTERIOR'!D18)</f>
        <v>1.1697937730113548E-2</v>
      </c>
      <c r="I13" s="141">
        <v>1.7966019086188553E-2</v>
      </c>
      <c r="J13" s="141">
        <v>1.3559934464286076E-2</v>
      </c>
      <c r="K13" s="141">
        <v>1.6403991029145137E-2</v>
      </c>
      <c r="L13" s="111">
        <v>3.5654132087997094E-2</v>
      </c>
      <c r="M13" s="142">
        <v>5.1153313619854521E-2</v>
      </c>
      <c r="N13" s="116"/>
      <c r="O13" s="116"/>
      <c r="P13" s="164" t="s">
        <v>465</v>
      </c>
      <c r="Q13" s="98"/>
    </row>
    <row r="14" spans="1:17" ht="76.150000000000006" customHeight="1" x14ac:dyDescent="0.2">
      <c r="A14" s="163" t="s">
        <v>139</v>
      </c>
      <c r="B14" s="108" t="s">
        <v>140</v>
      </c>
      <c r="C14" s="108" t="s">
        <v>335</v>
      </c>
      <c r="D14" s="108" t="s">
        <v>141</v>
      </c>
      <c r="E14" s="111">
        <v>0.2122</v>
      </c>
      <c r="F14" s="111">
        <v>0.2349</v>
      </c>
      <c r="G14" s="110"/>
      <c r="H14" s="141">
        <f>-'BALANCE AÑO ANTERIOR'!D29/(SUM('BALANCE AÑO ANTERIOR'!D23:D26))</f>
        <v>2.3989379379441407</v>
      </c>
      <c r="I14" s="174">
        <v>0.27272432707247224</v>
      </c>
      <c r="J14" s="141">
        <v>0.32042628401762197</v>
      </c>
      <c r="K14" s="126">
        <v>-0.19857070030046994</v>
      </c>
      <c r="L14" s="142">
        <v>-9.5308920374752346E-2</v>
      </c>
      <c r="M14" s="111">
        <v>-0.22213299647327439</v>
      </c>
      <c r="N14" s="116"/>
      <c r="O14" s="116"/>
      <c r="P14" s="164" t="s">
        <v>580</v>
      </c>
      <c r="Q14" s="98"/>
    </row>
    <row r="15" spans="1:17" ht="51.6" customHeight="1" x14ac:dyDescent="0.2">
      <c r="A15" s="163" t="s">
        <v>127</v>
      </c>
      <c r="B15" s="108" t="s">
        <v>336</v>
      </c>
      <c r="C15" s="108" t="s">
        <v>337</v>
      </c>
      <c r="D15" s="108" t="s">
        <v>338</v>
      </c>
      <c r="E15" s="111">
        <v>1.8100000000000002E-2</v>
      </c>
      <c r="F15" s="111">
        <v>0.02</v>
      </c>
      <c r="G15" s="110"/>
      <c r="H15" s="111">
        <f>-'BALANCE AÑO ANTERIOR'!D30/'BALANCE AÑO ANTERIOR'!D18</f>
        <v>1.1526499392775637E-2</v>
      </c>
      <c r="I15" s="111">
        <v>5.0456753422099517E-3</v>
      </c>
      <c r="J15" s="111">
        <v>5.0246588779217964E-3</v>
      </c>
      <c r="K15" s="111">
        <v>-5.0177491339922636E-3</v>
      </c>
      <c r="L15" s="111">
        <v>-5.007101962068594E-3</v>
      </c>
      <c r="M15" s="111">
        <v>-5.1570989625382927E-3</v>
      </c>
      <c r="N15" s="116"/>
      <c r="O15" s="116"/>
      <c r="P15" s="162" t="s">
        <v>570</v>
      </c>
      <c r="Q15" s="98"/>
    </row>
    <row r="16" spans="1:17" ht="51" customHeight="1" x14ac:dyDescent="0.2">
      <c r="A16" s="163" t="s">
        <v>166</v>
      </c>
      <c r="B16" s="108" t="s">
        <v>339</v>
      </c>
      <c r="C16" s="108" t="s">
        <v>340</v>
      </c>
      <c r="D16" s="108" t="s">
        <v>341</v>
      </c>
      <c r="E16" s="165">
        <v>1.54</v>
      </c>
      <c r="F16" s="165">
        <v>1.48</v>
      </c>
      <c r="G16" s="110"/>
      <c r="H16" s="143">
        <f>'BALANCE AÑO ANTERIOR'!D18/'BALANCE AÑO ANTERIOR'!D57</f>
        <v>0.96796198174841475</v>
      </c>
      <c r="I16" s="143">
        <v>1.3766003276208654</v>
      </c>
      <c r="J16" s="143">
        <v>1.3464397784619078</v>
      </c>
      <c r="K16" s="143">
        <v>1.3020425291324673</v>
      </c>
      <c r="L16" s="143">
        <v>1.5552725897511142</v>
      </c>
      <c r="M16" s="143">
        <v>1.882529236389106</v>
      </c>
      <c r="N16" s="143">
        <v>2.7000186892021918</v>
      </c>
      <c r="O16" s="165">
        <v>2.6147215653163682</v>
      </c>
      <c r="P16" s="164" t="s">
        <v>571</v>
      </c>
    </row>
    <row r="17" spans="1:21" x14ac:dyDescent="0.2">
      <c r="A17" s="132"/>
      <c r="B17" s="128"/>
      <c r="C17" s="128"/>
      <c r="D17" s="128"/>
      <c r="E17" s="129"/>
      <c r="F17" s="129"/>
      <c r="G17" s="110"/>
      <c r="H17" s="130"/>
      <c r="I17" s="130"/>
      <c r="J17" s="130"/>
      <c r="K17" s="130"/>
      <c r="L17" s="130"/>
      <c r="M17" s="130"/>
      <c r="N17" s="130"/>
      <c r="O17" s="130"/>
      <c r="P17" s="131"/>
    </row>
    <row r="18" spans="1:21" ht="38.25" customHeight="1" x14ac:dyDescent="0.2">
      <c r="A18" s="166" t="s">
        <v>419</v>
      </c>
      <c r="B18" s="1235" t="s">
        <v>411</v>
      </c>
      <c r="C18" s="1236"/>
      <c r="D18" s="1236"/>
      <c r="E18" s="1236"/>
      <c r="F18" s="1237"/>
      <c r="G18" s="110"/>
      <c r="H18" s="1235"/>
      <c r="I18" s="1236"/>
      <c r="J18" s="1236"/>
      <c r="K18" s="1236"/>
      <c r="L18" s="1236"/>
      <c r="M18" s="1236"/>
      <c r="N18" s="1237"/>
      <c r="O18" s="115"/>
    </row>
    <row r="19" spans="1:21" x14ac:dyDescent="0.2">
      <c r="A19" s="121"/>
      <c r="B19" s="1220" t="s">
        <v>409</v>
      </c>
      <c r="C19" s="1221"/>
      <c r="D19" s="1222"/>
      <c r="E19" s="1241" t="s">
        <v>386</v>
      </c>
      <c r="F19" s="1242"/>
      <c r="G19" s="102"/>
      <c r="H19" s="1234" t="s">
        <v>581</v>
      </c>
      <c r="I19" s="1234"/>
      <c r="J19" s="1234"/>
      <c r="K19" s="1234"/>
      <c r="L19" s="1234"/>
      <c r="M19" s="1234"/>
      <c r="N19" s="1234"/>
      <c r="O19" s="1234"/>
    </row>
    <row r="20" spans="1:21" x14ac:dyDescent="0.2">
      <c r="A20" s="121" t="s">
        <v>131</v>
      </c>
      <c r="B20" s="103" t="s">
        <v>128</v>
      </c>
      <c r="C20" s="104" t="s">
        <v>129</v>
      </c>
      <c r="D20" s="105" t="s">
        <v>130</v>
      </c>
      <c r="E20" s="123">
        <v>2008</v>
      </c>
      <c r="F20" s="123">
        <v>2009</v>
      </c>
      <c r="G20" s="106"/>
      <c r="H20" s="124">
        <f>H12</f>
        <v>40940</v>
      </c>
      <c r="I20" s="124">
        <f>I12</f>
        <v>40909</v>
      </c>
      <c r="J20" s="175">
        <v>2011</v>
      </c>
      <c r="K20" s="123">
        <v>2010</v>
      </c>
      <c r="L20" s="123">
        <v>2009</v>
      </c>
      <c r="M20" s="123">
        <v>2008</v>
      </c>
      <c r="N20" s="123">
        <v>2007</v>
      </c>
      <c r="O20" s="123">
        <v>2006</v>
      </c>
      <c r="P20" s="159" t="s">
        <v>410</v>
      </c>
    </row>
    <row r="21" spans="1:21" ht="45" x14ac:dyDescent="0.2">
      <c r="A21" s="163" t="s">
        <v>143</v>
      </c>
      <c r="B21" s="108" t="s">
        <v>339</v>
      </c>
      <c r="C21" s="108" t="s">
        <v>340</v>
      </c>
      <c r="D21" s="108" t="s">
        <v>341</v>
      </c>
      <c r="E21" s="165">
        <v>1.53</v>
      </c>
      <c r="F21" s="165">
        <v>1.55</v>
      </c>
      <c r="G21" s="110"/>
      <c r="H21" s="165">
        <f>'BALANCE AÑO ANTERIOR'!D108/'BALANCE AÑO ANTERIOR'!D96</f>
        <v>43.926891294464966</v>
      </c>
      <c r="I21" s="165">
        <v>1.4745274735950984</v>
      </c>
      <c r="J21" s="177">
        <v>1.468001798765165</v>
      </c>
      <c r="K21" s="165">
        <v>1.3821991725905618</v>
      </c>
      <c r="L21" s="165">
        <v>1.3821991725905618</v>
      </c>
      <c r="M21" s="165">
        <v>1.3282863372441465</v>
      </c>
      <c r="N21" s="165">
        <v>1.3786598334967013</v>
      </c>
      <c r="O21" s="165">
        <v>1.3534999663165896</v>
      </c>
      <c r="P21" s="162" t="s">
        <v>572</v>
      </c>
    </row>
    <row r="22" spans="1:21" ht="43.15" customHeight="1" x14ac:dyDescent="0.2">
      <c r="A22" s="163" t="s">
        <v>144</v>
      </c>
      <c r="B22" s="108" t="s">
        <v>342</v>
      </c>
      <c r="C22" s="108" t="s">
        <v>343</v>
      </c>
      <c r="D22" s="108" t="s">
        <v>344</v>
      </c>
      <c r="E22" s="167">
        <v>9.9199999999999997E-2</v>
      </c>
      <c r="F22" s="167">
        <v>6.4799999999999996E-2</v>
      </c>
      <c r="G22" s="110"/>
      <c r="H22" s="167" t="e">
        <f>((('PYGCOM-CON AÑO ANTERIOR '!C104/(('BALANCE AÑO ANTERIOR'!D108+'BALANCE AÑO ANTERIOR'!#REF!)/2))+1)^(12/2))-1</f>
        <v>#REF!</v>
      </c>
      <c r="I22" s="167">
        <v>7.0152608255943161E-2</v>
      </c>
      <c r="J22" s="178">
        <v>0.14584277887325348</v>
      </c>
      <c r="K22" s="167">
        <v>9.6651817112197946E-2</v>
      </c>
      <c r="L22" s="167">
        <v>6.2734724993294355E-2</v>
      </c>
      <c r="M22" s="168">
        <v>4.2933195565570514E-2</v>
      </c>
      <c r="N22" s="167">
        <v>8.733343608550781E-2</v>
      </c>
      <c r="O22" s="167">
        <v>9.370415706384394E-2</v>
      </c>
      <c r="P22" s="1216" t="s">
        <v>494</v>
      </c>
      <c r="Q22" s="97">
        <f>211549397-9700000</f>
        <v>201849397</v>
      </c>
    </row>
    <row r="23" spans="1:21" ht="51" customHeight="1" x14ac:dyDescent="0.2">
      <c r="A23" s="163" t="s">
        <v>145</v>
      </c>
      <c r="B23" s="108" t="s">
        <v>342</v>
      </c>
      <c r="C23" s="108" t="s">
        <v>343</v>
      </c>
      <c r="D23" s="108" t="s">
        <v>344</v>
      </c>
      <c r="E23" s="167">
        <v>0.15179999999999999</v>
      </c>
      <c r="F23" s="167">
        <v>9.98E-2</v>
      </c>
      <c r="G23" s="110"/>
      <c r="H23" s="167" t="e">
        <f>((('PYGCOM-CON AÑO ANTERIOR '!C104/(('BALANCE AÑO ANTERIOR'!D96+'BALANCE AÑO ANTERIOR'!#REF!)/2))+1)^(12/2))-1</f>
        <v>#REF!</v>
      </c>
      <c r="I23" s="167">
        <v>0.10210960630255816</v>
      </c>
      <c r="J23" s="178">
        <v>0.20843944365345224</v>
      </c>
      <c r="K23" s="167">
        <v>0.14040669476604717</v>
      </c>
      <c r="L23" s="167">
        <v>8.5011732067914458E-2</v>
      </c>
      <c r="M23" s="168">
        <v>5.8079148798429792E-2</v>
      </c>
      <c r="N23" s="167">
        <v>0.11929705597018203</v>
      </c>
      <c r="O23" s="167">
        <v>0.12682857342963727</v>
      </c>
      <c r="P23" s="1218"/>
      <c r="T23" s="147" t="s">
        <v>429</v>
      </c>
      <c r="U23" s="148">
        <f>F24*1.1</f>
        <v>3.0140000000000004E-2</v>
      </c>
    </row>
    <row r="24" spans="1:21" ht="42.6" customHeight="1" x14ac:dyDescent="0.2">
      <c r="A24" s="163" t="s">
        <v>146</v>
      </c>
      <c r="B24" s="108" t="s">
        <v>345</v>
      </c>
      <c r="C24" s="108" t="s">
        <v>346</v>
      </c>
      <c r="D24" s="108" t="s">
        <v>347</v>
      </c>
      <c r="E24" s="117">
        <f>F24*0.9</f>
        <v>2.4660000000000001E-2</v>
      </c>
      <c r="F24" s="169">
        <v>2.7400000000000001E-2</v>
      </c>
      <c r="G24" s="110"/>
      <c r="H24" s="168" t="e">
        <f>((('PYGCOM-CON AÑO ANTERIOR '!C104/(('BALANCE AÑO ANTERIOR'!D52+'BALANCE AÑO ANTERIOR'!#REF!)/2))+1)^(12/2))-1</f>
        <v>#REF!</v>
      </c>
      <c r="I24" s="168">
        <v>1.6958689047670283E-2</v>
      </c>
      <c r="J24" s="178">
        <v>3.6228887470109772E-2</v>
      </c>
      <c r="K24" s="167">
        <v>3.4563793946781773E-2</v>
      </c>
      <c r="L24" s="168">
        <v>2.1055751189674288E-2</v>
      </c>
      <c r="M24" s="168">
        <v>1.7161032551020972E-2</v>
      </c>
      <c r="N24" s="168">
        <v>4.1480535328797474E-2</v>
      </c>
      <c r="O24" s="168">
        <v>5.2760625504456371E-2</v>
      </c>
      <c r="P24" s="1217"/>
      <c r="T24" s="147" t="s">
        <v>430</v>
      </c>
      <c r="U24" s="148">
        <f>F24*0.9</f>
        <v>2.4660000000000001E-2</v>
      </c>
    </row>
    <row r="25" spans="1:21" ht="55.15" customHeight="1" x14ac:dyDescent="0.2">
      <c r="A25" s="163" t="s">
        <v>147</v>
      </c>
      <c r="B25" s="108" t="s">
        <v>382</v>
      </c>
      <c r="C25" s="108" t="s">
        <v>383</v>
      </c>
      <c r="D25" s="108" t="s">
        <v>381</v>
      </c>
      <c r="E25" s="167">
        <v>0.21210000000000001</v>
      </c>
      <c r="F25" s="167">
        <v>0.12470000000000001</v>
      </c>
      <c r="G25" s="110"/>
      <c r="H25" s="167" t="e">
        <f>((('PYGCOM-CON AÑO ANTERIOR '!C11/(('BALANCE AÑO ANTERIOR'!D18+'BALANCE AÑO ANTERIOR'!#REF!)/2))+1)^(12/2))-1</f>
        <v>#REF!</v>
      </c>
      <c r="I25" s="167">
        <v>0.21688602755102404</v>
      </c>
      <c r="J25" s="178">
        <v>0.19921798733140927</v>
      </c>
      <c r="K25" s="170">
        <v>0.19252284777311446</v>
      </c>
      <c r="L25" s="167">
        <v>0.17056925142915913</v>
      </c>
      <c r="M25" s="167">
        <v>0.20909880608670478</v>
      </c>
      <c r="N25" s="167">
        <v>0.16831617440835353</v>
      </c>
      <c r="O25" s="167">
        <v>0.17810041249919245</v>
      </c>
      <c r="P25" s="162" t="s">
        <v>573</v>
      </c>
      <c r="Q25" s="98"/>
      <c r="R25" s="97">
        <f>26*80%</f>
        <v>20.8</v>
      </c>
    </row>
    <row r="26" spans="1:21" ht="75.599999999999994" customHeight="1" x14ac:dyDescent="0.2">
      <c r="A26" s="163" t="s">
        <v>148</v>
      </c>
      <c r="B26" s="108" t="s">
        <v>348</v>
      </c>
      <c r="C26" s="108" t="s">
        <v>349</v>
      </c>
      <c r="D26" s="108" t="s">
        <v>350</v>
      </c>
      <c r="E26" s="168">
        <v>0.1114</v>
      </c>
      <c r="F26" s="135">
        <v>5.8700000000000002E-2</v>
      </c>
      <c r="G26" s="110"/>
      <c r="H26" s="135" t="e">
        <f>(((('PYGCOM-CON AÑO ANTERIOR '!C16+'PYGCOM-CON AÑO ANTERIOR '!C17)/(('BALANCE AÑO ANTERIOR'!D57+'BALANCE AÑO ANTERIOR'!#REF!)/2))+1)^(12/2))-1</f>
        <v>#REF!</v>
      </c>
      <c r="I26" s="135">
        <v>7.5389401126990885E-2</v>
      </c>
      <c r="J26" s="179">
        <v>6.4159380824246215E-2</v>
      </c>
      <c r="K26" s="168">
        <v>7.5730014188830005E-2</v>
      </c>
      <c r="L26" s="168">
        <v>7.8307808472937793E-2</v>
      </c>
      <c r="M26" s="167">
        <v>9.1211592705442185E-2</v>
      </c>
      <c r="N26" s="170">
        <v>8.1033654284223017E-2</v>
      </c>
      <c r="O26" s="171">
        <v>7.0147061215390313E-2</v>
      </c>
      <c r="P26" s="164" t="s">
        <v>456</v>
      </c>
      <c r="Q26" s="119"/>
      <c r="R26" s="97">
        <f>3.5*1.5</f>
        <v>5.25</v>
      </c>
    </row>
    <row r="27" spans="1:21" ht="46.9" customHeight="1" x14ac:dyDescent="0.2">
      <c r="A27" s="163" t="s">
        <v>149</v>
      </c>
      <c r="B27" s="108" t="s">
        <v>351</v>
      </c>
      <c r="C27" s="108" t="s">
        <v>352</v>
      </c>
      <c r="D27" s="108" t="s">
        <v>353</v>
      </c>
      <c r="E27" s="167">
        <v>0.92679999999999996</v>
      </c>
      <c r="F27" s="167">
        <v>0.9194</v>
      </c>
      <c r="G27" s="110"/>
      <c r="H27" s="167">
        <f>('BALANCE AÑO ANTERIOR'!D52-'BALANCE AÑO ANTERIOR'!D9-'BALANCE AÑO ANTERIOR'!D10-'BALANCE AÑO ANTERIOR'!D45-'BALANCE AÑO ANTERIOR'!D47-'BALANCE AÑO ANTERIOR'!D12)/'BALANCE AÑO ANTERIOR'!D52</f>
        <v>0.93403628375874892</v>
      </c>
      <c r="I27" s="167">
        <v>0.94498190328814369</v>
      </c>
      <c r="J27" s="178">
        <v>0.93609540280678161</v>
      </c>
      <c r="K27" s="167">
        <v>0.86092381362179959</v>
      </c>
      <c r="L27" s="167">
        <v>0.90398994707695546</v>
      </c>
      <c r="M27" s="167">
        <v>0.85837753033464581</v>
      </c>
      <c r="N27" s="167">
        <v>0.91325213112656456</v>
      </c>
      <c r="O27" s="167">
        <v>0.93905941322186193</v>
      </c>
      <c r="P27" s="164" t="s">
        <v>457</v>
      </c>
      <c r="T27" s="147" t="s">
        <v>429</v>
      </c>
      <c r="U27" s="148">
        <f>F28*1.1</f>
        <v>0.55858000000000008</v>
      </c>
    </row>
    <row r="28" spans="1:21" ht="78" customHeight="1" x14ac:dyDescent="0.2">
      <c r="A28" s="163" t="s">
        <v>151</v>
      </c>
      <c r="B28" s="108" t="s">
        <v>347</v>
      </c>
      <c r="C28" s="108" t="s">
        <v>354</v>
      </c>
      <c r="D28" s="108" t="s">
        <v>355</v>
      </c>
      <c r="E28" s="120">
        <f>F28*1.1</f>
        <v>0.55858000000000008</v>
      </c>
      <c r="F28" s="169">
        <v>0.50780000000000003</v>
      </c>
      <c r="G28" s="110"/>
      <c r="H28" s="168" t="e">
        <f>('PYGCOM-CON AÑO ANTERIOR '!C91+'PYGCOM-CON AÑO ANTERIOR '!C41)/'PYGCOM-CON AÑO ANTERIOR '!C9</f>
        <v>#REF!</v>
      </c>
      <c r="I28" s="168">
        <v>0.587462999294183</v>
      </c>
      <c r="J28" s="180">
        <v>0.49532293844640329</v>
      </c>
      <c r="K28" s="170">
        <v>0.50965101085098796</v>
      </c>
      <c r="L28" s="170">
        <v>0.49813983982672899</v>
      </c>
      <c r="M28" s="168">
        <v>0.57655009176873229</v>
      </c>
      <c r="N28" s="170">
        <v>0.46180158609400013</v>
      </c>
      <c r="O28" s="171">
        <v>0.4845795966028475</v>
      </c>
      <c r="P28" s="1216" t="s">
        <v>574</v>
      </c>
      <c r="Q28" s="98"/>
      <c r="R28" s="98"/>
      <c r="T28" s="147" t="s">
        <v>430</v>
      </c>
      <c r="U28" s="148">
        <f>F28*0.9</f>
        <v>0.45702000000000004</v>
      </c>
    </row>
    <row r="29" spans="1:21" ht="22.5" x14ac:dyDescent="0.2">
      <c r="A29" s="163" t="s">
        <v>152</v>
      </c>
      <c r="B29" s="108" t="s">
        <v>355</v>
      </c>
      <c r="C29" s="108" t="s">
        <v>354</v>
      </c>
      <c r="D29" s="108" t="s">
        <v>347</v>
      </c>
      <c r="E29" s="120">
        <f>F29*1.1</f>
        <v>0.15180000000000002</v>
      </c>
      <c r="F29" s="169">
        <v>0.13800000000000001</v>
      </c>
      <c r="G29" s="110"/>
      <c r="H29" s="168">
        <f>'PYGCOM-CON AÑO ANTERIOR '!C104/'PYGCOM-CON AÑO ANTERIOR '!C9</f>
        <v>9.3971019134788419E-2</v>
      </c>
      <c r="I29" s="168">
        <v>9.9326870151440413E-2</v>
      </c>
      <c r="J29" s="178">
        <v>0.22833724716784098</v>
      </c>
      <c r="K29" s="167">
        <v>0.16186812045538215</v>
      </c>
      <c r="L29" s="168">
        <v>0.1341233704990015</v>
      </c>
      <c r="M29" s="168">
        <v>0.10859278388392321</v>
      </c>
      <c r="N29" s="170">
        <v>0.24418869911599983</v>
      </c>
      <c r="O29" s="171">
        <v>0.33939598808368682</v>
      </c>
      <c r="P29" s="1217"/>
      <c r="T29" s="147" t="s">
        <v>429</v>
      </c>
      <c r="U29" s="148">
        <f>F29*1.1</f>
        <v>0.15180000000000002</v>
      </c>
    </row>
    <row r="30" spans="1:21" ht="73.900000000000006" customHeight="1" x14ac:dyDescent="0.2">
      <c r="A30" s="163" t="s">
        <v>153</v>
      </c>
      <c r="B30" s="108" t="s">
        <v>356</v>
      </c>
      <c r="C30" s="108" t="s">
        <v>357</v>
      </c>
      <c r="D30" s="108" t="s">
        <v>358</v>
      </c>
      <c r="E30" s="167">
        <v>0.68089999999999995</v>
      </c>
      <c r="F30" s="167">
        <v>0.70650000000000002</v>
      </c>
      <c r="G30" s="110"/>
      <c r="H30" s="167">
        <v>0.71737038342354775</v>
      </c>
      <c r="I30" s="167">
        <v>0.71737038342354775</v>
      </c>
      <c r="J30" s="178">
        <v>0.71737038342354775</v>
      </c>
      <c r="K30" s="167">
        <v>0.6715191313063702</v>
      </c>
      <c r="L30" s="167">
        <v>0.63226321032573052</v>
      </c>
      <c r="M30" s="167">
        <v>0.65672089316117499</v>
      </c>
      <c r="N30" s="167">
        <v>0.68677161097119399</v>
      </c>
      <c r="O30" s="167">
        <v>0.80539693078806096</v>
      </c>
      <c r="P30" s="164" t="s">
        <v>575</v>
      </c>
      <c r="T30" s="147" t="s">
        <v>430</v>
      </c>
      <c r="U30" s="148">
        <f>F29*0.9</f>
        <v>0.12420000000000002</v>
      </c>
    </row>
    <row r="31" spans="1:21" x14ac:dyDescent="0.2">
      <c r="A31" s="132"/>
      <c r="B31" s="113"/>
      <c r="C31" s="113"/>
      <c r="D31" s="113"/>
      <c r="E31" s="138"/>
      <c r="F31" s="138"/>
      <c r="G31" s="110"/>
      <c r="H31" s="172"/>
      <c r="I31" s="172"/>
      <c r="J31" s="172"/>
      <c r="K31" s="172"/>
      <c r="L31" s="172"/>
      <c r="M31" s="172"/>
      <c r="N31" s="172"/>
      <c r="O31" s="172"/>
      <c r="P31" s="131"/>
    </row>
    <row r="32" spans="1:21" ht="46.5" customHeight="1" x14ac:dyDescent="0.2">
      <c r="A32" s="166" t="s">
        <v>420</v>
      </c>
      <c r="B32" s="1235" t="s">
        <v>418</v>
      </c>
      <c r="C32" s="1236"/>
      <c r="D32" s="1236"/>
      <c r="E32" s="1236"/>
      <c r="F32" s="1237"/>
      <c r="G32" s="110"/>
      <c r="H32" s="1247"/>
      <c r="I32" s="1248"/>
      <c r="J32" s="1248"/>
      <c r="K32" s="1248"/>
      <c r="L32" s="1248"/>
      <c r="M32" s="1248"/>
      <c r="N32" s="1249"/>
      <c r="O32" s="173"/>
    </row>
    <row r="33" spans="1:21" x14ac:dyDescent="0.2">
      <c r="A33" s="121"/>
      <c r="B33" s="1220" t="s">
        <v>409</v>
      </c>
      <c r="C33" s="1221"/>
      <c r="D33" s="1222"/>
      <c r="E33" s="1241" t="s">
        <v>386</v>
      </c>
      <c r="F33" s="1242"/>
      <c r="G33" s="102"/>
      <c r="H33" s="1234" t="s">
        <v>581</v>
      </c>
      <c r="I33" s="1234"/>
      <c r="J33" s="1234"/>
      <c r="K33" s="1234"/>
      <c r="L33" s="1234"/>
      <c r="M33" s="1234"/>
      <c r="N33" s="1234"/>
      <c r="O33" s="1234"/>
    </row>
    <row r="34" spans="1:21" x14ac:dyDescent="0.2">
      <c r="A34" s="121" t="s">
        <v>131</v>
      </c>
      <c r="B34" s="103" t="s">
        <v>128</v>
      </c>
      <c r="C34" s="104" t="s">
        <v>129</v>
      </c>
      <c r="D34" s="105" t="s">
        <v>130</v>
      </c>
      <c r="E34" s="123">
        <v>2008</v>
      </c>
      <c r="F34" s="123">
        <v>2009</v>
      </c>
      <c r="G34" s="106"/>
      <c r="H34" s="124">
        <f>H20</f>
        <v>40940</v>
      </c>
      <c r="I34" s="124">
        <v>40909</v>
      </c>
      <c r="J34" s="175">
        <v>2011</v>
      </c>
      <c r="K34" s="123">
        <v>2010</v>
      </c>
      <c r="L34" s="123">
        <v>2009</v>
      </c>
      <c r="M34" s="123">
        <v>2008</v>
      </c>
      <c r="N34" s="123">
        <v>2007</v>
      </c>
      <c r="O34" s="123">
        <v>2006</v>
      </c>
      <c r="P34" s="159" t="s">
        <v>410</v>
      </c>
    </row>
    <row r="35" spans="1:21" ht="54" customHeight="1" x14ac:dyDescent="0.2">
      <c r="A35" s="163" t="s">
        <v>155</v>
      </c>
      <c r="B35" s="108" t="s">
        <v>359</v>
      </c>
      <c r="C35" s="108" t="s">
        <v>360</v>
      </c>
      <c r="D35" s="108" t="s">
        <v>156</v>
      </c>
      <c r="E35" s="120">
        <f>F35*1.1</f>
        <v>0.84865000000000002</v>
      </c>
      <c r="F35" s="169">
        <v>0.77149999999999996</v>
      </c>
      <c r="G35" s="110"/>
      <c r="H35" s="167">
        <f>'BALANCE AÑO ANTERIOR'!D17/'BALANCE AÑO ANTERIOR'!D52</f>
        <v>0.79411494212212563</v>
      </c>
      <c r="I35" s="167">
        <v>0.8563718913118159</v>
      </c>
      <c r="J35" s="178">
        <v>0.84433951483657987</v>
      </c>
      <c r="K35" s="171">
        <v>0.80394692237941001</v>
      </c>
      <c r="L35" s="171">
        <v>0.82974611630621686</v>
      </c>
      <c r="M35" s="171">
        <v>0.76875286808477883</v>
      </c>
      <c r="N35" s="171">
        <v>0.87113080910518959</v>
      </c>
      <c r="O35" s="171">
        <v>0.87284736671132324</v>
      </c>
      <c r="P35" s="164" t="s">
        <v>576</v>
      </c>
      <c r="Q35" s="98"/>
      <c r="T35" s="147" t="s">
        <v>429</v>
      </c>
      <c r="U35" s="148">
        <f>F35*1.1</f>
        <v>0.84865000000000002</v>
      </c>
    </row>
    <row r="36" spans="1:21" ht="22.5" x14ac:dyDescent="0.2">
      <c r="A36" s="163" t="s">
        <v>167</v>
      </c>
      <c r="B36" s="108" t="s">
        <v>361</v>
      </c>
      <c r="C36" s="108" t="s">
        <v>362</v>
      </c>
      <c r="D36" s="108" t="s">
        <v>363</v>
      </c>
      <c r="E36" s="167">
        <v>0.20699999999999999</v>
      </c>
      <c r="F36" s="167">
        <v>0.20180000000000001</v>
      </c>
      <c r="G36" s="110"/>
      <c r="H36" s="171">
        <f>('BALANCE AÑO ANTERIOR'!D91-('BALANCE AÑO ANTERIOR'!D75+'BALANCE AÑO ANTERIOR'!D61))/'BALANCE AÑO ANTERIOR'!D52</f>
        <v>-0.42350412006709631</v>
      </c>
      <c r="I36" s="171">
        <v>0.43210939072177823</v>
      </c>
      <c r="J36" s="178">
        <v>0.13393416200503741</v>
      </c>
      <c r="K36" s="167">
        <v>0.11973117267396446</v>
      </c>
      <c r="L36" s="167">
        <v>0.17045856615776023</v>
      </c>
      <c r="M36" s="167">
        <v>0.2024105515644542</v>
      </c>
      <c r="N36" s="167">
        <v>0.26637351092681211</v>
      </c>
      <c r="O36" s="167">
        <v>0.10312427764461372</v>
      </c>
      <c r="P36" s="1216" t="s">
        <v>577</v>
      </c>
      <c r="T36" s="147" t="s">
        <v>430</v>
      </c>
      <c r="U36" s="148">
        <f>F35*0.9</f>
        <v>0.69435000000000002</v>
      </c>
    </row>
    <row r="37" spans="1:21" ht="55.15" customHeight="1" x14ac:dyDescent="0.2">
      <c r="A37" s="163" t="s">
        <v>157</v>
      </c>
      <c r="B37" s="108" t="s">
        <v>364</v>
      </c>
      <c r="C37" s="108" t="s">
        <v>365</v>
      </c>
      <c r="D37" s="108" t="s">
        <v>366</v>
      </c>
      <c r="E37" s="168">
        <v>0.51590000000000003</v>
      </c>
      <c r="F37" s="168">
        <v>0.52739999999999998</v>
      </c>
      <c r="G37" s="110"/>
      <c r="H37" s="167">
        <f>'BALANCE AÑO ANTERIOR'!D57/'BALANCE AÑO ANTERIOR'!D52</f>
        <v>0.75579363329790406</v>
      </c>
      <c r="I37" s="167">
        <v>0.62834101550913146</v>
      </c>
      <c r="J37" s="178">
        <v>0.62709044132608616</v>
      </c>
      <c r="K37" s="167">
        <v>0.61745058582308254</v>
      </c>
      <c r="L37" s="170">
        <v>0.53350526574830126</v>
      </c>
      <c r="M37" s="168">
        <v>0.40836171530559051</v>
      </c>
      <c r="N37" s="168">
        <v>0.32263880712714382</v>
      </c>
      <c r="O37" s="168">
        <v>0.33382038771906986</v>
      </c>
      <c r="P37" s="1217"/>
    </row>
    <row r="38" spans="1:21" ht="58.9" customHeight="1" x14ac:dyDescent="0.2">
      <c r="A38" s="163" t="s">
        <v>384</v>
      </c>
      <c r="B38" s="108" t="s">
        <v>158</v>
      </c>
      <c r="C38" s="108" t="s">
        <v>159</v>
      </c>
      <c r="D38" s="108" t="s">
        <v>367</v>
      </c>
      <c r="E38" s="167">
        <v>4.58E-2</v>
      </c>
      <c r="F38" s="167">
        <v>3.6700000000000003E-2</v>
      </c>
      <c r="G38" s="110"/>
      <c r="H38" s="167">
        <f>'BALANCE AÑO ANTERIOR'!D62/'BALANCE AÑO ANTERIOR'!D52</f>
        <v>5.449113021785832E-2</v>
      </c>
      <c r="I38" s="167">
        <v>7.0713429122639268E-2</v>
      </c>
      <c r="J38" s="178">
        <v>7.3595165200418033E-2</v>
      </c>
      <c r="K38" s="167">
        <v>6.9511487525879323E-2</v>
      </c>
      <c r="L38" s="170">
        <v>0.12272707718177514</v>
      </c>
      <c r="M38" s="170">
        <v>0.12909726854825224</v>
      </c>
      <c r="N38" s="167">
        <v>0.21194195840919192</v>
      </c>
      <c r="O38" s="167">
        <v>5.8438687673452359E-2</v>
      </c>
      <c r="P38" s="164" t="s">
        <v>578</v>
      </c>
    </row>
    <row r="39" spans="1:21" ht="42.75" customHeight="1" x14ac:dyDescent="0.2">
      <c r="A39" s="163" t="s">
        <v>385</v>
      </c>
      <c r="B39" s="108" t="s">
        <v>161</v>
      </c>
      <c r="C39" s="108" t="s">
        <v>368</v>
      </c>
      <c r="D39" s="108" t="s">
        <v>369</v>
      </c>
      <c r="E39" s="168">
        <v>0.22090000000000001</v>
      </c>
      <c r="F39" s="168">
        <v>0.218</v>
      </c>
      <c r="G39" s="110"/>
      <c r="H39" s="167">
        <f>'BALANCE AÑO ANTERIOR'!D96/'BALANCE AÑO ANTERIOR'!D52</f>
        <v>2.2765098337984162E-2</v>
      </c>
      <c r="I39" s="167">
        <v>0.15874347807862152</v>
      </c>
      <c r="J39" s="178">
        <v>0.16133143434630975</v>
      </c>
      <c r="K39" s="167">
        <v>0.18934168052584185</v>
      </c>
      <c r="L39" s="170">
        <v>0.21417764815321597</v>
      </c>
      <c r="M39" s="168">
        <v>0.29302999089873433</v>
      </c>
      <c r="N39" s="168">
        <v>0.29810666268825298</v>
      </c>
      <c r="O39" s="168">
        <v>0.41599951870252139</v>
      </c>
      <c r="P39" s="164" t="s">
        <v>579</v>
      </c>
    </row>
    <row r="40" spans="1:21" ht="33.75" x14ac:dyDescent="0.2">
      <c r="A40" s="163" t="s">
        <v>421</v>
      </c>
      <c r="B40" s="108" t="s">
        <v>163</v>
      </c>
      <c r="C40" s="108" t="s">
        <v>164</v>
      </c>
      <c r="D40" s="108" t="s">
        <v>165</v>
      </c>
      <c r="E40" s="136">
        <v>6.6100000000000006E-2</v>
      </c>
      <c r="F40" s="136">
        <v>6.59E-2</v>
      </c>
      <c r="G40" s="110"/>
      <c r="H40" s="170">
        <f>('BALANCE AÑO ANTERIOR'!D108-'BALANCE AÑO ANTERIOR'!D96)/'BALANCE AÑO ANTERIOR'!D52</f>
        <v>0.97723490166245108</v>
      </c>
      <c r="I40" s="170">
        <v>7.532814160234716E-2</v>
      </c>
      <c r="J40" s="180">
        <v>7.5503401471437109E-2</v>
      </c>
      <c r="K40" s="170">
        <v>7.3476560950663947E-2</v>
      </c>
      <c r="L40" s="170">
        <v>8.1858519911551589E-2</v>
      </c>
      <c r="M40" s="170">
        <v>9.6197742414831103E-2</v>
      </c>
      <c r="N40" s="167">
        <v>0.11288101925779118</v>
      </c>
      <c r="O40" s="167">
        <v>0.14705581584905883</v>
      </c>
      <c r="P40" s="164" t="s">
        <v>462</v>
      </c>
    </row>
    <row r="42" spans="1:21" x14ac:dyDescent="0.2">
      <c r="C42" s="147" t="s">
        <v>432</v>
      </c>
      <c r="D42" s="147" t="s">
        <v>431</v>
      </c>
    </row>
    <row r="43" spans="1:21" ht="12.75" x14ac:dyDescent="0.2">
      <c r="A43" s="107" t="s">
        <v>380</v>
      </c>
      <c r="B43" s="137">
        <v>0.29880000000000001</v>
      </c>
      <c r="C43" s="147">
        <v>0.8</v>
      </c>
      <c r="D43" s="149">
        <f>B43*C43</f>
        <v>0.23904000000000003</v>
      </c>
    </row>
    <row r="44" spans="1:21" ht="12.75" x14ac:dyDescent="0.2">
      <c r="A44" s="107" t="s">
        <v>412</v>
      </c>
      <c r="B44" s="137">
        <v>5.1200000000000002E-2</v>
      </c>
      <c r="C44" s="147">
        <v>1.5</v>
      </c>
      <c r="D44" s="149">
        <f>B44*C44</f>
        <v>7.6800000000000007E-2</v>
      </c>
    </row>
    <row r="45" spans="1:21" x14ac:dyDescent="0.2">
      <c r="A45" s="107" t="s">
        <v>463</v>
      </c>
      <c r="B45" s="137">
        <v>3.73E-2</v>
      </c>
    </row>
    <row r="48" spans="1:21" x14ac:dyDescent="0.2">
      <c r="B48" s="98"/>
    </row>
    <row r="49" spans="2:5" x14ac:dyDescent="0.2">
      <c r="B49" s="98"/>
      <c r="E49" s="97" t="s">
        <v>434</v>
      </c>
    </row>
    <row r="50" spans="2:5" x14ac:dyDescent="0.2">
      <c r="B50" s="98"/>
    </row>
  </sheetData>
  <mergeCells count="24">
    <mergeCell ref="P36:P37"/>
    <mergeCell ref="B19:D19"/>
    <mergeCell ref="E19:F19"/>
    <mergeCell ref="H19:O19"/>
    <mergeCell ref="P22:P24"/>
    <mergeCell ref="P28:P29"/>
    <mergeCell ref="B32:F32"/>
    <mergeCell ref="H32:N32"/>
    <mergeCell ref="B11:D11"/>
    <mergeCell ref="E11:F11"/>
    <mergeCell ref="H11:O11"/>
    <mergeCell ref="B33:D33"/>
    <mergeCell ref="E33:F33"/>
    <mergeCell ref="H33:O33"/>
    <mergeCell ref="B18:F18"/>
    <mergeCell ref="H18:N18"/>
    <mergeCell ref="B10:F10"/>
    <mergeCell ref="H10:N10"/>
    <mergeCell ref="A2:N2"/>
    <mergeCell ref="B3:F3"/>
    <mergeCell ref="H3:N3"/>
    <mergeCell ref="B5:D5"/>
    <mergeCell ref="E5:F5"/>
    <mergeCell ref="H5:O5"/>
  </mergeCells>
  <pageMargins left="0.70866141732283472" right="0.70866141732283472" top="0.74803149606299213" bottom="0.74803149606299213" header="0.31496062992125984" footer="0.31496062992125984"/>
  <pageSetup paperSize="5"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L589"/>
  <sheetViews>
    <sheetView topLeftCell="A109" zoomScaleNormal="100" workbookViewId="0">
      <selection activeCell="F126" sqref="F126"/>
    </sheetView>
  </sheetViews>
  <sheetFormatPr baseColWidth="10" defaultRowHeight="15.75" x14ac:dyDescent="0.25"/>
  <cols>
    <col min="1" max="1" width="11.5546875" style="634"/>
    <col min="2" max="2" width="42.33203125" style="634" bestFit="1" customWidth="1"/>
    <col min="3" max="3" width="16.44140625" style="795" bestFit="1" customWidth="1"/>
    <col min="4" max="4" width="13" style="634" bestFit="1" customWidth="1"/>
    <col min="5" max="5" width="7.88671875" style="634" customWidth="1"/>
    <col min="6" max="6" width="29.44140625" style="634" bestFit="1" customWidth="1"/>
    <col min="7" max="7" width="16.5546875" style="795" bestFit="1" customWidth="1"/>
    <col min="8" max="9" width="11.5546875" style="634"/>
    <col min="10" max="10" width="14.5546875" style="634" bestFit="1" customWidth="1"/>
    <col min="11" max="11" width="11.5546875" style="634"/>
    <col min="12" max="12" width="14.33203125" style="634" bestFit="1" customWidth="1"/>
    <col min="13" max="16384" width="11.5546875" style="634"/>
  </cols>
  <sheetData>
    <row r="1" spans="1:10" x14ac:dyDescent="0.25">
      <c r="A1" s="634">
        <v>1</v>
      </c>
      <c r="B1" s="634" t="s">
        <v>693</v>
      </c>
      <c r="C1" s="795">
        <v>45953719091.32</v>
      </c>
      <c r="E1" s="1167">
        <v>1</v>
      </c>
      <c r="F1" s="1167" t="s">
        <v>693</v>
      </c>
      <c r="G1" s="1168">
        <v>45953719091.32</v>
      </c>
      <c r="H1" s="828"/>
      <c r="I1" s="634">
        <f>+A1-E1</f>
        <v>0</v>
      </c>
      <c r="J1" s="822">
        <f>+C1-G1</f>
        <v>0</v>
      </c>
    </row>
    <row r="2" spans="1:10" x14ac:dyDescent="0.25">
      <c r="A2" s="1081">
        <v>11</v>
      </c>
      <c r="B2" s="1081" t="s">
        <v>27</v>
      </c>
      <c r="C2" s="1082">
        <v>2922955549.0500002</v>
      </c>
      <c r="E2" s="1167">
        <v>11</v>
      </c>
      <c r="F2" s="1167" t="s">
        <v>27</v>
      </c>
      <c r="G2" s="1168">
        <v>2922955549.0500002</v>
      </c>
      <c r="H2" s="828"/>
      <c r="I2" s="634">
        <f t="shared" ref="I2:I43" si="0">+A2-E2</f>
        <v>0</v>
      </c>
      <c r="J2" s="822">
        <f t="shared" ref="J2:J43" si="1">+C2-G2</f>
        <v>0</v>
      </c>
    </row>
    <row r="3" spans="1:10" x14ac:dyDescent="0.25">
      <c r="A3" s="634">
        <v>1105</v>
      </c>
      <c r="B3" s="634" t="s">
        <v>170</v>
      </c>
      <c r="C3" s="795">
        <v>0</v>
      </c>
      <c r="E3" s="1167">
        <v>1105</v>
      </c>
      <c r="F3" s="1167" t="s">
        <v>170</v>
      </c>
      <c r="G3" s="1168">
        <v>0</v>
      </c>
      <c r="H3" s="828"/>
      <c r="I3" s="634">
        <f t="shared" si="0"/>
        <v>0</v>
      </c>
      <c r="J3" s="822">
        <f t="shared" si="1"/>
        <v>0</v>
      </c>
    </row>
    <row r="4" spans="1:10" x14ac:dyDescent="0.25">
      <c r="A4" s="994">
        <v>1110</v>
      </c>
      <c r="B4" s="634" t="s">
        <v>694</v>
      </c>
      <c r="C4" s="795">
        <v>2860235506.27</v>
      </c>
      <c r="E4" s="1167">
        <v>1110</v>
      </c>
      <c r="F4" s="1167" t="s">
        <v>694</v>
      </c>
      <c r="G4" s="1168">
        <v>2860235506.27</v>
      </c>
      <c r="H4" s="828"/>
      <c r="I4" s="634">
        <f t="shared" si="0"/>
        <v>0</v>
      </c>
      <c r="J4" s="822">
        <f t="shared" si="1"/>
        <v>0</v>
      </c>
    </row>
    <row r="5" spans="1:10" x14ac:dyDescent="0.25">
      <c r="A5" s="1155">
        <v>11101001</v>
      </c>
      <c r="B5" s="1155" t="s">
        <v>1376</v>
      </c>
      <c r="C5" s="795">
        <v>184701355.47</v>
      </c>
      <c r="E5" s="1167">
        <v>11101001</v>
      </c>
      <c r="F5" s="1167" t="s">
        <v>1376</v>
      </c>
      <c r="G5" s="1168">
        <v>184701355.47</v>
      </c>
      <c r="H5" s="828"/>
      <c r="I5" s="634">
        <f t="shared" si="0"/>
        <v>0</v>
      </c>
      <c r="J5" s="822">
        <f t="shared" si="1"/>
        <v>0</v>
      </c>
    </row>
    <row r="6" spans="1:10" x14ac:dyDescent="0.25">
      <c r="A6" s="1155">
        <v>111005</v>
      </c>
      <c r="B6" s="1155" t="s">
        <v>695</v>
      </c>
      <c r="C6" s="795">
        <v>2675534150.8000002</v>
      </c>
      <c r="E6" s="1167">
        <v>111005</v>
      </c>
      <c r="F6" s="1167" t="s">
        <v>695</v>
      </c>
      <c r="G6" s="1168">
        <v>2675534150.8000002</v>
      </c>
      <c r="H6" s="828"/>
      <c r="I6" s="634">
        <f t="shared" si="0"/>
        <v>0</v>
      </c>
      <c r="J6" s="822">
        <f t="shared" si="1"/>
        <v>0</v>
      </c>
    </row>
    <row r="7" spans="1:10" x14ac:dyDescent="0.25">
      <c r="A7" s="1155">
        <v>11100502</v>
      </c>
      <c r="B7" s="1155" t="s">
        <v>696</v>
      </c>
      <c r="C7" s="795">
        <v>21387926.789999999</v>
      </c>
      <c r="E7" s="1167">
        <v>11100502</v>
      </c>
      <c r="F7" s="1167" t="s">
        <v>696</v>
      </c>
      <c r="G7" s="1168">
        <v>21387926.789999999</v>
      </c>
      <c r="H7" s="828"/>
      <c r="I7" s="634">
        <f t="shared" si="0"/>
        <v>0</v>
      </c>
      <c r="J7" s="822">
        <f t="shared" si="1"/>
        <v>0</v>
      </c>
    </row>
    <row r="8" spans="1:10" x14ac:dyDescent="0.25">
      <c r="A8" s="1155">
        <v>11100505</v>
      </c>
      <c r="B8" s="1155" t="s">
        <v>1288</v>
      </c>
      <c r="C8" s="795">
        <v>16329132.960000001</v>
      </c>
      <c r="E8" s="1167">
        <v>11100505</v>
      </c>
      <c r="F8" s="1167" t="s">
        <v>1288</v>
      </c>
      <c r="G8" s="1168">
        <v>16329132.960000001</v>
      </c>
      <c r="H8" s="828"/>
      <c r="I8" s="634">
        <f t="shared" si="0"/>
        <v>0</v>
      </c>
      <c r="J8" s="822">
        <f t="shared" si="1"/>
        <v>0</v>
      </c>
    </row>
    <row r="9" spans="1:10" x14ac:dyDescent="0.25">
      <c r="A9" s="1155">
        <v>11100506</v>
      </c>
      <c r="B9" s="1155" t="s">
        <v>697</v>
      </c>
      <c r="C9" s="795">
        <v>522224814.05000001</v>
      </c>
      <c r="E9" s="1167">
        <v>11100506</v>
      </c>
      <c r="F9" s="1167" t="s">
        <v>697</v>
      </c>
      <c r="G9" s="1168">
        <v>522224814.05000001</v>
      </c>
      <c r="H9" s="828"/>
      <c r="I9" s="634">
        <f t="shared" si="0"/>
        <v>0</v>
      </c>
      <c r="J9" s="822">
        <f t="shared" si="1"/>
        <v>0</v>
      </c>
    </row>
    <row r="10" spans="1:10" x14ac:dyDescent="0.25">
      <c r="A10" s="1155">
        <v>11100507</v>
      </c>
      <c r="B10" s="1155" t="s">
        <v>698</v>
      </c>
      <c r="C10" s="795">
        <v>213966727.16</v>
      </c>
      <c r="E10" s="1167">
        <v>11100507</v>
      </c>
      <c r="F10" s="1167" t="s">
        <v>698</v>
      </c>
      <c r="G10" s="1168">
        <v>213966727.16</v>
      </c>
      <c r="H10" s="828"/>
      <c r="I10" s="634">
        <f t="shared" si="0"/>
        <v>0</v>
      </c>
      <c r="J10" s="822">
        <f t="shared" si="1"/>
        <v>0</v>
      </c>
    </row>
    <row r="11" spans="1:10" x14ac:dyDescent="0.25">
      <c r="A11" s="1155">
        <v>11100508</v>
      </c>
      <c r="B11" s="1155" t="s">
        <v>699</v>
      </c>
      <c r="C11" s="795">
        <v>27500788.5</v>
      </c>
      <c r="E11" s="1167">
        <v>11100508</v>
      </c>
      <c r="F11" s="1167" t="s">
        <v>699</v>
      </c>
      <c r="G11" s="1168">
        <v>27500788.5</v>
      </c>
      <c r="H11" s="828"/>
      <c r="I11" s="634">
        <f t="shared" si="0"/>
        <v>0</v>
      </c>
      <c r="J11" s="822">
        <f t="shared" si="1"/>
        <v>0</v>
      </c>
    </row>
    <row r="12" spans="1:10" x14ac:dyDescent="0.25">
      <c r="A12" s="1155">
        <v>11100509</v>
      </c>
      <c r="B12" s="1155" t="s">
        <v>700</v>
      </c>
      <c r="C12" s="795">
        <v>431928237.17000002</v>
      </c>
      <c r="E12" s="1167">
        <v>11100509</v>
      </c>
      <c r="F12" s="1167" t="s">
        <v>700</v>
      </c>
      <c r="G12" s="1168">
        <v>431928237.17000002</v>
      </c>
      <c r="H12" s="828"/>
      <c r="I12" s="634">
        <f t="shared" si="0"/>
        <v>0</v>
      </c>
      <c r="J12" s="822">
        <f t="shared" si="1"/>
        <v>0</v>
      </c>
    </row>
    <row r="13" spans="1:10" x14ac:dyDescent="0.25">
      <c r="A13" s="1155">
        <v>11100510</v>
      </c>
      <c r="B13" s="1155" t="s">
        <v>701</v>
      </c>
      <c r="C13" s="795">
        <v>18735809.260000002</v>
      </c>
      <c r="E13" s="1167">
        <v>11100510</v>
      </c>
      <c r="F13" s="1167" t="s">
        <v>701</v>
      </c>
      <c r="G13" s="1168">
        <v>18735809.260000002</v>
      </c>
      <c r="H13" s="828"/>
      <c r="I13" s="634">
        <f t="shared" si="0"/>
        <v>0</v>
      </c>
      <c r="J13" s="822">
        <f t="shared" si="1"/>
        <v>0</v>
      </c>
    </row>
    <row r="14" spans="1:10" x14ac:dyDescent="0.25">
      <c r="A14" s="1155">
        <v>11100516</v>
      </c>
      <c r="B14" s="1155" t="s">
        <v>1434</v>
      </c>
      <c r="C14" s="795">
        <v>1389002304</v>
      </c>
      <c r="E14" s="1167">
        <v>11100516</v>
      </c>
      <c r="F14" s="1167" t="s">
        <v>1434</v>
      </c>
      <c r="G14" s="1168">
        <v>1389002304</v>
      </c>
      <c r="H14" s="828"/>
      <c r="I14" s="634">
        <f t="shared" si="0"/>
        <v>0</v>
      </c>
      <c r="J14" s="822">
        <f t="shared" si="1"/>
        <v>0</v>
      </c>
    </row>
    <row r="15" spans="1:10" x14ac:dyDescent="0.25">
      <c r="A15" s="1155">
        <v>11100517</v>
      </c>
      <c r="B15" s="1155" t="s">
        <v>1056</v>
      </c>
      <c r="C15" s="795">
        <v>23243002.530000001</v>
      </c>
      <c r="E15" s="1167">
        <v>11100517</v>
      </c>
      <c r="F15" s="1167" t="s">
        <v>1056</v>
      </c>
      <c r="G15" s="1168">
        <v>23243002.530000001</v>
      </c>
      <c r="H15" s="828"/>
      <c r="I15" s="634">
        <f t="shared" si="0"/>
        <v>0</v>
      </c>
      <c r="J15" s="822">
        <f t="shared" si="1"/>
        <v>0</v>
      </c>
    </row>
    <row r="16" spans="1:10" x14ac:dyDescent="0.25">
      <c r="A16" s="1155">
        <v>11100518</v>
      </c>
      <c r="B16" s="1155" t="s">
        <v>1289</v>
      </c>
      <c r="C16" s="795">
        <v>11215408.380000001</v>
      </c>
      <c r="E16" s="1167">
        <v>11100518</v>
      </c>
      <c r="F16" s="1167" t="s">
        <v>1289</v>
      </c>
      <c r="G16" s="1168">
        <v>11215408.380000001</v>
      </c>
      <c r="H16" s="828"/>
      <c r="I16" s="634">
        <f t="shared" si="0"/>
        <v>0</v>
      </c>
      <c r="J16" s="822">
        <f t="shared" si="1"/>
        <v>0</v>
      </c>
    </row>
    <row r="17" spans="1:10" x14ac:dyDescent="0.25">
      <c r="A17" s="1081">
        <v>1120</v>
      </c>
      <c r="B17" s="1081" t="s">
        <v>29</v>
      </c>
      <c r="C17" s="1082">
        <v>62720042.780000001</v>
      </c>
      <c r="E17" s="1167">
        <v>1120</v>
      </c>
      <c r="F17" s="1167" t="s">
        <v>29</v>
      </c>
      <c r="G17" s="1168">
        <v>62720042.780000001</v>
      </c>
      <c r="H17" s="828"/>
      <c r="I17" s="634">
        <f t="shared" si="0"/>
        <v>0</v>
      </c>
      <c r="J17" s="822">
        <f t="shared" si="1"/>
        <v>0</v>
      </c>
    </row>
    <row r="18" spans="1:10" x14ac:dyDescent="0.25">
      <c r="A18" s="634">
        <v>112005</v>
      </c>
      <c r="B18" s="634" t="s">
        <v>702</v>
      </c>
      <c r="C18" s="795">
        <v>62720042.780000001</v>
      </c>
      <c r="E18" s="1167">
        <v>112005</v>
      </c>
      <c r="F18" s="1167" t="s">
        <v>702</v>
      </c>
      <c r="G18" s="1168">
        <v>62720042.780000001</v>
      </c>
      <c r="H18" s="828"/>
      <c r="I18" s="634">
        <f t="shared" si="0"/>
        <v>0</v>
      </c>
      <c r="J18" s="822">
        <f t="shared" si="1"/>
        <v>0</v>
      </c>
    </row>
    <row r="19" spans="1:10" x14ac:dyDescent="0.25">
      <c r="A19" s="634">
        <v>11200502</v>
      </c>
      <c r="B19" s="634" t="s">
        <v>1290</v>
      </c>
      <c r="C19" s="795">
        <v>2051129.88</v>
      </c>
      <c r="E19" s="1167">
        <v>11200502</v>
      </c>
      <c r="F19" s="1167" t="s">
        <v>1290</v>
      </c>
      <c r="G19" s="1168">
        <v>2051129.88</v>
      </c>
      <c r="H19" s="828"/>
      <c r="I19" s="634">
        <f t="shared" si="0"/>
        <v>0</v>
      </c>
      <c r="J19" s="822">
        <f t="shared" si="1"/>
        <v>0</v>
      </c>
    </row>
    <row r="20" spans="1:10" x14ac:dyDescent="0.25">
      <c r="A20" s="634">
        <v>11200503</v>
      </c>
      <c r="B20" s="634" t="s">
        <v>1291</v>
      </c>
      <c r="C20" s="795">
        <v>60668912.899999999</v>
      </c>
      <c r="E20" s="1167">
        <v>11200503</v>
      </c>
      <c r="F20" s="1167" t="s">
        <v>1291</v>
      </c>
      <c r="G20" s="1168">
        <v>60668912.899999999</v>
      </c>
      <c r="H20" s="828"/>
      <c r="I20" s="634">
        <f t="shared" si="0"/>
        <v>0</v>
      </c>
      <c r="J20" s="822">
        <f t="shared" si="1"/>
        <v>0</v>
      </c>
    </row>
    <row r="21" spans="1:10" x14ac:dyDescent="0.25">
      <c r="A21" s="1081">
        <v>12</v>
      </c>
      <c r="B21" s="1081" t="s">
        <v>28</v>
      </c>
      <c r="C21" s="1082">
        <v>3306752156</v>
      </c>
      <c r="E21" s="1167">
        <v>12</v>
      </c>
      <c r="F21" s="1167" t="s">
        <v>28</v>
      </c>
      <c r="G21" s="1168">
        <v>3306752156</v>
      </c>
      <c r="H21" s="828"/>
      <c r="I21" s="634">
        <f t="shared" si="0"/>
        <v>0</v>
      </c>
      <c r="J21" s="822">
        <f t="shared" si="1"/>
        <v>0</v>
      </c>
    </row>
    <row r="22" spans="1:10" x14ac:dyDescent="0.25">
      <c r="A22" s="634">
        <v>1203</v>
      </c>
      <c r="B22" s="634" t="s">
        <v>29</v>
      </c>
      <c r="C22" s="795">
        <v>1977383235</v>
      </c>
      <c r="E22" s="1167">
        <v>1203</v>
      </c>
      <c r="F22" s="1167" t="s">
        <v>29</v>
      </c>
      <c r="G22" s="1168">
        <v>1977383235</v>
      </c>
      <c r="H22" s="828"/>
      <c r="I22" s="634">
        <f t="shared" si="0"/>
        <v>0</v>
      </c>
      <c r="J22" s="822">
        <f t="shared" si="1"/>
        <v>0</v>
      </c>
    </row>
    <row r="23" spans="1:10" x14ac:dyDescent="0.25">
      <c r="A23" s="634">
        <v>120310</v>
      </c>
      <c r="B23" s="634" t="s">
        <v>703</v>
      </c>
      <c r="C23" s="795">
        <v>1977383235</v>
      </c>
      <c r="E23" s="1167">
        <v>120310</v>
      </c>
      <c r="F23" s="1167" t="s">
        <v>1344</v>
      </c>
      <c r="G23" s="1168">
        <v>1977383235</v>
      </c>
      <c r="H23" s="828"/>
      <c r="I23" s="634">
        <f t="shared" si="0"/>
        <v>0</v>
      </c>
      <c r="J23" s="822">
        <f t="shared" si="1"/>
        <v>0</v>
      </c>
    </row>
    <row r="24" spans="1:10" x14ac:dyDescent="0.25">
      <c r="A24" s="634">
        <v>12031001</v>
      </c>
      <c r="B24" s="634" t="s">
        <v>704</v>
      </c>
      <c r="C24" s="795">
        <v>1977383235</v>
      </c>
      <c r="E24" s="1167">
        <v>12031001</v>
      </c>
      <c r="F24" s="1167" t="s">
        <v>704</v>
      </c>
      <c r="G24" s="1168">
        <v>1977383235</v>
      </c>
      <c r="H24" s="828"/>
      <c r="I24" s="634">
        <f t="shared" si="0"/>
        <v>0</v>
      </c>
      <c r="J24" s="822">
        <f t="shared" si="1"/>
        <v>0</v>
      </c>
    </row>
    <row r="25" spans="1:10" x14ac:dyDescent="0.25">
      <c r="A25" s="634">
        <v>1215</v>
      </c>
      <c r="B25" s="634" t="s">
        <v>705</v>
      </c>
      <c r="C25" s="795">
        <v>19465099</v>
      </c>
      <c r="E25" s="1167">
        <v>1215</v>
      </c>
      <c r="F25" s="1167" t="s">
        <v>705</v>
      </c>
      <c r="G25" s="1168">
        <v>19465099</v>
      </c>
      <c r="H25" s="828"/>
      <c r="I25" s="634">
        <f t="shared" si="0"/>
        <v>0</v>
      </c>
      <c r="J25" s="822">
        <f t="shared" si="1"/>
        <v>0</v>
      </c>
    </row>
    <row r="26" spans="1:10" x14ac:dyDescent="0.25">
      <c r="A26" s="634">
        <v>121520</v>
      </c>
      <c r="B26" s="634" t="s">
        <v>1435</v>
      </c>
      <c r="C26" s="795">
        <v>19465099</v>
      </c>
      <c r="E26" s="1167">
        <v>121520</v>
      </c>
      <c r="F26" s="1167" t="s">
        <v>1435</v>
      </c>
      <c r="G26" s="1168">
        <v>19465099</v>
      </c>
      <c r="H26" s="828"/>
      <c r="I26" s="634">
        <f t="shared" si="0"/>
        <v>0</v>
      </c>
      <c r="J26" s="822">
        <f t="shared" si="1"/>
        <v>0</v>
      </c>
    </row>
    <row r="27" spans="1:10" x14ac:dyDescent="0.25">
      <c r="A27" s="634">
        <v>19871001</v>
      </c>
      <c r="B27" s="634" t="s">
        <v>1436</v>
      </c>
      <c r="C27" s="1119">
        <v>3823046</v>
      </c>
      <c r="E27" s="1167">
        <v>19871001</v>
      </c>
      <c r="F27" s="1167" t="s">
        <v>1436</v>
      </c>
      <c r="G27" s="1168">
        <v>3823046</v>
      </c>
      <c r="H27" s="828"/>
      <c r="I27" s="634">
        <f t="shared" si="0"/>
        <v>0</v>
      </c>
      <c r="J27" s="822">
        <f t="shared" si="1"/>
        <v>0</v>
      </c>
    </row>
    <row r="28" spans="1:10" x14ac:dyDescent="0.25">
      <c r="A28" s="634">
        <v>19871501</v>
      </c>
      <c r="B28" s="634" t="s">
        <v>1437</v>
      </c>
      <c r="C28" s="1119">
        <v>15642053</v>
      </c>
      <c r="E28" s="1167">
        <v>19871501</v>
      </c>
      <c r="F28" s="1167" t="s">
        <v>1437</v>
      </c>
      <c r="G28" s="1168">
        <v>15642053</v>
      </c>
      <c r="H28" s="828"/>
      <c r="I28" s="634">
        <f t="shared" si="0"/>
        <v>0</v>
      </c>
      <c r="J28" s="822">
        <f t="shared" si="1"/>
        <v>0</v>
      </c>
    </row>
    <row r="29" spans="1:10" x14ac:dyDescent="0.25">
      <c r="A29" s="634">
        <v>1218</v>
      </c>
      <c r="B29" s="634" t="s">
        <v>1180</v>
      </c>
      <c r="C29" s="795">
        <v>1309903822</v>
      </c>
      <c r="E29" s="1167">
        <v>1218</v>
      </c>
      <c r="F29" s="1167" t="s">
        <v>1180</v>
      </c>
      <c r="G29" s="1168">
        <v>1309903822</v>
      </c>
      <c r="H29" s="828"/>
      <c r="I29" s="634">
        <f t="shared" si="0"/>
        <v>0</v>
      </c>
      <c r="J29" s="822">
        <f t="shared" si="1"/>
        <v>0</v>
      </c>
    </row>
    <row r="30" spans="1:10" x14ac:dyDescent="0.25">
      <c r="A30" s="634">
        <v>121803</v>
      </c>
      <c r="B30" s="634" t="s">
        <v>1377</v>
      </c>
      <c r="C30" s="795">
        <v>1309903822</v>
      </c>
      <c r="E30" s="1167">
        <v>121803</v>
      </c>
      <c r="F30" s="1167" t="s">
        <v>1377</v>
      </c>
      <c r="G30" s="1168">
        <v>1309903822</v>
      </c>
      <c r="H30" s="828"/>
      <c r="I30" s="634">
        <f t="shared" si="0"/>
        <v>0</v>
      </c>
      <c r="J30" s="822">
        <f t="shared" si="1"/>
        <v>0</v>
      </c>
    </row>
    <row r="31" spans="1:10" x14ac:dyDescent="0.25">
      <c r="A31" s="634">
        <v>12180301</v>
      </c>
      <c r="B31" s="634" t="s">
        <v>1378</v>
      </c>
      <c r="C31" s="795">
        <v>1309903822</v>
      </c>
      <c r="E31" s="1167">
        <v>12180301</v>
      </c>
      <c r="F31" s="1167" t="s">
        <v>1378</v>
      </c>
      <c r="G31" s="1168">
        <v>1309903822</v>
      </c>
      <c r="H31" s="828"/>
      <c r="I31" s="634">
        <f t="shared" si="0"/>
        <v>0</v>
      </c>
      <c r="J31" s="822">
        <f t="shared" si="1"/>
        <v>0</v>
      </c>
    </row>
    <row r="32" spans="1:10" x14ac:dyDescent="0.25">
      <c r="A32" s="1169">
        <v>14</v>
      </c>
      <c r="B32" s="1169" t="s">
        <v>171</v>
      </c>
      <c r="C32" s="1170">
        <v>36492534976.5</v>
      </c>
      <c r="E32" s="1167">
        <v>14</v>
      </c>
      <c r="F32" s="1167" t="s">
        <v>171</v>
      </c>
      <c r="G32" s="1168">
        <v>36492534976.5</v>
      </c>
      <c r="H32" s="828"/>
      <c r="I32" s="634">
        <f t="shared" si="0"/>
        <v>0</v>
      </c>
      <c r="J32" s="822">
        <f t="shared" si="1"/>
        <v>0</v>
      </c>
    </row>
    <row r="33" spans="1:10" x14ac:dyDescent="0.25">
      <c r="A33" s="634">
        <v>1441</v>
      </c>
      <c r="B33" s="634" t="s">
        <v>1379</v>
      </c>
      <c r="C33" s="795">
        <v>33618798977.5</v>
      </c>
      <c r="E33" s="1167">
        <v>1441</v>
      </c>
      <c r="F33" s="1167" t="s">
        <v>1379</v>
      </c>
      <c r="G33" s="1168">
        <v>33618798977.5</v>
      </c>
      <c r="H33" s="828"/>
      <c r="I33" s="634">
        <f t="shared" si="0"/>
        <v>0</v>
      </c>
      <c r="J33" s="822">
        <f t="shared" si="1"/>
        <v>0</v>
      </c>
    </row>
    <row r="34" spans="1:10" x14ac:dyDescent="0.25">
      <c r="A34" s="634">
        <v>144105</v>
      </c>
      <c r="B34" s="634" t="s">
        <v>706</v>
      </c>
      <c r="C34" s="795">
        <v>33225528360.5</v>
      </c>
      <c r="E34" s="1167">
        <v>144105</v>
      </c>
      <c r="F34" s="1167" t="s">
        <v>706</v>
      </c>
      <c r="G34" s="1168">
        <v>33225528360.5</v>
      </c>
      <c r="H34" s="828"/>
      <c r="I34" s="634">
        <f t="shared" si="0"/>
        <v>0</v>
      </c>
      <c r="J34" s="822">
        <f t="shared" si="1"/>
        <v>0</v>
      </c>
    </row>
    <row r="35" spans="1:10" x14ac:dyDescent="0.25">
      <c r="A35" s="634">
        <v>14410501</v>
      </c>
      <c r="B35" s="634" t="s">
        <v>707</v>
      </c>
      <c r="C35" s="795">
        <v>33225528360.5</v>
      </c>
      <c r="E35" s="1167">
        <v>14410501</v>
      </c>
      <c r="F35" s="1167" t="s">
        <v>707</v>
      </c>
      <c r="G35" s="1168">
        <v>33225528360.5</v>
      </c>
      <c r="H35" s="828"/>
      <c r="I35" s="634">
        <f t="shared" si="0"/>
        <v>0</v>
      </c>
      <c r="J35" s="822">
        <f t="shared" si="1"/>
        <v>0</v>
      </c>
    </row>
    <row r="36" spans="1:10" x14ac:dyDescent="0.25">
      <c r="A36" s="634">
        <v>144110</v>
      </c>
      <c r="B36" s="634" t="s">
        <v>708</v>
      </c>
      <c r="C36" s="795">
        <v>249830008</v>
      </c>
      <c r="E36" s="1167">
        <v>144110</v>
      </c>
      <c r="F36" s="1167" t="s">
        <v>708</v>
      </c>
      <c r="G36" s="1168">
        <v>249830008</v>
      </c>
      <c r="H36" s="828"/>
      <c r="I36" s="634">
        <f t="shared" si="0"/>
        <v>0</v>
      </c>
      <c r="J36" s="822">
        <f t="shared" si="1"/>
        <v>0</v>
      </c>
    </row>
    <row r="37" spans="1:10" x14ac:dyDescent="0.25">
      <c r="A37" s="634">
        <v>14411001</v>
      </c>
      <c r="B37" s="634" t="s">
        <v>709</v>
      </c>
      <c r="C37" s="795">
        <v>249830008</v>
      </c>
      <c r="E37" s="1167">
        <v>14411001</v>
      </c>
      <c r="F37" s="1167" t="s">
        <v>709</v>
      </c>
      <c r="G37" s="1168">
        <v>249830008</v>
      </c>
      <c r="H37" s="828"/>
      <c r="I37" s="634">
        <f t="shared" si="0"/>
        <v>0</v>
      </c>
      <c r="J37" s="822">
        <f t="shared" si="1"/>
        <v>0</v>
      </c>
    </row>
    <row r="38" spans="1:10" x14ac:dyDescent="0.25">
      <c r="A38" s="634">
        <v>144115</v>
      </c>
      <c r="B38" s="634" t="s">
        <v>710</v>
      </c>
      <c r="C38" s="795">
        <v>93215240</v>
      </c>
      <c r="E38" s="1167">
        <v>144115</v>
      </c>
      <c r="F38" s="1167" t="s">
        <v>710</v>
      </c>
      <c r="G38" s="1168">
        <v>93215240</v>
      </c>
      <c r="H38" s="828"/>
      <c r="I38" s="634">
        <f t="shared" si="0"/>
        <v>0</v>
      </c>
      <c r="J38" s="822">
        <f t="shared" si="1"/>
        <v>0</v>
      </c>
    </row>
    <row r="39" spans="1:10" x14ac:dyDescent="0.25">
      <c r="A39" s="634">
        <v>14411501</v>
      </c>
      <c r="B39" s="634" t="s">
        <v>711</v>
      </c>
      <c r="C39" s="795">
        <v>93215240</v>
      </c>
      <c r="E39" s="1167">
        <v>14411501</v>
      </c>
      <c r="F39" s="1167" t="s">
        <v>711</v>
      </c>
      <c r="G39" s="1168">
        <v>93215240</v>
      </c>
      <c r="H39" s="828"/>
      <c r="I39" s="634">
        <f t="shared" si="0"/>
        <v>0</v>
      </c>
      <c r="J39" s="822">
        <f t="shared" si="1"/>
        <v>0</v>
      </c>
    </row>
    <row r="40" spans="1:10" x14ac:dyDescent="0.25">
      <c r="A40" s="634">
        <v>144120</v>
      </c>
      <c r="B40" s="634" t="s">
        <v>712</v>
      </c>
      <c r="C40" s="795">
        <v>25140469</v>
      </c>
      <c r="E40" s="1167">
        <v>144120</v>
      </c>
      <c r="F40" s="1167" t="s">
        <v>712</v>
      </c>
      <c r="G40" s="1168">
        <v>25140469</v>
      </c>
      <c r="H40" s="828"/>
      <c r="I40" s="634">
        <f t="shared" si="0"/>
        <v>0</v>
      </c>
      <c r="J40" s="822">
        <f t="shared" si="1"/>
        <v>0</v>
      </c>
    </row>
    <row r="41" spans="1:10" x14ac:dyDescent="0.25">
      <c r="A41" s="634">
        <v>14412001</v>
      </c>
      <c r="B41" s="634" t="s">
        <v>713</v>
      </c>
      <c r="C41" s="795">
        <v>25140469</v>
      </c>
      <c r="E41" s="1167">
        <v>14412001</v>
      </c>
      <c r="F41" s="1167" t="s">
        <v>713</v>
      </c>
      <c r="G41" s="1168">
        <v>25140469</v>
      </c>
      <c r="H41" s="828"/>
      <c r="I41" s="634">
        <f t="shared" si="0"/>
        <v>0</v>
      </c>
      <c r="J41" s="822">
        <f t="shared" si="1"/>
        <v>0</v>
      </c>
    </row>
    <row r="42" spans="1:10" x14ac:dyDescent="0.25">
      <c r="A42" s="634">
        <v>144125</v>
      </c>
      <c r="B42" s="634" t="s">
        <v>714</v>
      </c>
      <c r="C42" s="795">
        <v>25084900</v>
      </c>
      <c r="E42" s="1167">
        <v>144125</v>
      </c>
      <c r="F42" s="1167" t="s">
        <v>714</v>
      </c>
      <c r="G42" s="1168">
        <v>25084900</v>
      </c>
      <c r="H42" s="828"/>
      <c r="I42" s="634">
        <f t="shared" si="0"/>
        <v>0</v>
      </c>
      <c r="J42" s="822">
        <f t="shared" si="1"/>
        <v>0</v>
      </c>
    </row>
    <row r="43" spans="1:10" x14ac:dyDescent="0.25">
      <c r="A43" s="634">
        <v>14412501</v>
      </c>
      <c r="B43" s="634" t="s">
        <v>715</v>
      </c>
      <c r="C43" s="795">
        <v>25084900</v>
      </c>
      <c r="E43" s="1167">
        <v>14412501</v>
      </c>
      <c r="F43" s="1167" t="s">
        <v>715</v>
      </c>
      <c r="G43" s="1168">
        <v>25084900</v>
      </c>
      <c r="H43" s="828"/>
      <c r="I43" s="634">
        <f t="shared" si="0"/>
        <v>0</v>
      </c>
      <c r="J43" s="822">
        <f t="shared" si="1"/>
        <v>0</v>
      </c>
    </row>
    <row r="44" spans="1:10" x14ac:dyDescent="0.25">
      <c r="A44" s="634">
        <v>1442</v>
      </c>
      <c r="B44" s="634" t="s">
        <v>716</v>
      </c>
      <c r="C44" s="795">
        <v>4204674868</v>
      </c>
      <c r="E44" s="1167">
        <v>1442</v>
      </c>
      <c r="F44" s="1167" t="s">
        <v>1380</v>
      </c>
      <c r="G44" s="1168">
        <v>4204674868</v>
      </c>
      <c r="H44" s="828"/>
      <c r="I44" s="634">
        <f t="shared" ref="I44:I107" si="2">+A44-E44</f>
        <v>0</v>
      </c>
      <c r="J44" s="822">
        <f t="shared" ref="J44:J107" si="3">+C44-G44</f>
        <v>0</v>
      </c>
    </row>
    <row r="45" spans="1:10" x14ac:dyDescent="0.25">
      <c r="A45" s="634">
        <v>144205</v>
      </c>
      <c r="B45" s="634" t="s">
        <v>706</v>
      </c>
      <c r="C45" s="795">
        <v>2143757445</v>
      </c>
      <c r="E45" s="1167">
        <v>144205</v>
      </c>
      <c r="F45" s="1167" t="s">
        <v>706</v>
      </c>
      <c r="G45" s="1168">
        <v>2143757445</v>
      </c>
      <c r="H45" s="828"/>
      <c r="I45" s="634">
        <f t="shared" si="2"/>
        <v>0</v>
      </c>
      <c r="J45" s="822">
        <f t="shared" si="3"/>
        <v>0</v>
      </c>
    </row>
    <row r="46" spans="1:10" x14ac:dyDescent="0.25">
      <c r="A46" s="634">
        <v>14420501</v>
      </c>
      <c r="B46" s="634" t="s">
        <v>717</v>
      </c>
      <c r="C46" s="795">
        <v>2143757445</v>
      </c>
      <c r="E46" s="1167">
        <v>14420501</v>
      </c>
      <c r="F46" s="1167" t="s">
        <v>717</v>
      </c>
      <c r="G46" s="1168">
        <v>2143757445</v>
      </c>
      <c r="H46" s="828"/>
      <c r="I46" s="634">
        <f t="shared" si="2"/>
        <v>0</v>
      </c>
      <c r="J46" s="822">
        <f t="shared" si="3"/>
        <v>0</v>
      </c>
    </row>
    <row r="47" spans="1:10" x14ac:dyDescent="0.25">
      <c r="A47" s="634">
        <v>144210</v>
      </c>
      <c r="B47" s="634" t="s">
        <v>708</v>
      </c>
      <c r="C47" s="795">
        <v>192865020</v>
      </c>
      <c r="E47" s="1167">
        <v>144210</v>
      </c>
      <c r="F47" s="1167" t="s">
        <v>708</v>
      </c>
      <c r="G47" s="1168">
        <v>192865020</v>
      </c>
      <c r="H47" s="828"/>
      <c r="I47" s="634">
        <f t="shared" si="2"/>
        <v>0</v>
      </c>
      <c r="J47" s="822">
        <f t="shared" si="3"/>
        <v>0</v>
      </c>
    </row>
    <row r="48" spans="1:10" x14ac:dyDescent="0.25">
      <c r="A48" s="634">
        <v>14421001</v>
      </c>
      <c r="B48" s="634" t="s">
        <v>999</v>
      </c>
      <c r="C48" s="795">
        <v>192865020</v>
      </c>
      <c r="E48" s="1167">
        <v>14421001</v>
      </c>
      <c r="F48" s="1167" t="s">
        <v>999</v>
      </c>
      <c r="G48" s="1168">
        <v>192865020</v>
      </c>
      <c r="H48" s="828"/>
      <c r="I48" s="634">
        <f t="shared" si="2"/>
        <v>0</v>
      </c>
      <c r="J48" s="822">
        <f t="shared" si="3"/>
        <v>0</v>
      </c>
    </row>
    <row r="49" spans="1:12" x14ac:dyDescent="0.25">
      <c r="A49" s="634">
        <v>144215</v>
      </c>
      <c r="B49" s="634" t="s">
        <v>710</v>
      </c>
      <c r="C49" s="795">
        <v>517904131</v>
      </c>
      <c r="E49" s="1167">
        <v>144215</v>
      </c>
      <c r="F49" s="1167" t="s">
        <v>710</v>
      </c>
      <c r="G49" s="1168">
        <v>517904131</v>
      </c>
      <c r="H49" s="828"/>
      <c r="I49" s="634">
        <f t="shared" si="2"/>
        <v>0</v>
      </c>
      <c r="J49" s="822">
        <f t="shared" si="3"/>
        <v>0</v>
      </c>
    </row>
    <row r="50" spans="1:12" x14ac:dyDescent="0.25">
      <c r="A50" s="634">
        <v>14421501</v>
      </c>
      <c r="B50" s="634" t="s">
        <v>1292</v>
      </c>
      <c r="C50" s="795">
        <v>517904131</v>
      </c>
      <c r="E50" s="1167">
        <v>14421501</v>
      </c>
      <c r="F50" s="1167" t="s">
        <v>1292</v>
      </c>
      <c r="G50" s="1168">
        <v>517904131</v>
      </c>
      <c r="H50" s="828"/>
      <c r="I50" s="634">
        <f t="shared" si="2"/>
        <v>0</v>
      </c>
      <c r="J50" s="822">
        <f t="shared" si="3"/>
        <v>0</v>
      </c>
    </row>
    <row r="51" spans="1:12" x14ac:dyDescent="0.25">
      <c r="A51" s="634">
        <v>144220</v>
      </c>
      <c r="B51" s="634" t="s">
        <v>712</v>
      </c>
      <c r="C51" s="795">
        <v>327495982</v>
      </c>
      <c r="E51" s="1167">
        <v>144220</v>
      </c>
      <c r="F51" s="1167" t="s">
        <v>712</v>
      </c>
      <c r="G51" s="1168">
        <v>327495982</v>
      </c>
      <c r="H51" s="828"/>
      <c r="I51" s="634">
        <f t="shared" si="2"/>
        <v>0</v>
      </c>
      <c r="J51" s="822">
        <f t="shared" si="3"/>
        <v>0</v>
      </c>
    </row>
    <row r="52" spans="1:12" x14ac:dyDescent="0.25">
      <c r="A52" s="634">
        <v>14422001</v>
      </c>
      <c r="B52" s="634" t="s">
        <v>718</v>
      </c>
      <c r="C52" s="795">
        <v>327495982</v>
      </c>
      <c r="E52" s="1167">
        <v>14422001</v>
      </c>
      <c r="F52" s="1167" t="s">
        <v>718</v>
      </c>
      <c r="G52" s="1168">
        <v>327495982</v>
      </c>
      <c r="H52" s="828"/>
      <c r="I52" s="634">
        <f t="shared" si="2"/>
        <v>0</v>
      </c>
      <c r="J52" s="822">
        <f t="shared" si="3"/>
        <v>0</v>
      </c>
    </row>
    <row r="53" spans="1:12" x14ac:dyDescent="0.25">
      <c r="A53" s="634">
        <v>144225</v>
      </c>
      <c r="B53" s="634" t="s">
        <v>714</v>
      </c>
      <c r="C53" s="795">
        <v>1022652290</v>
      </c>
      <c r="E53" s="1167">
        <v>144225</v>
      </c>
      <c r="F53" s="1167" t="s">
        <v>714</v>
      </c>
      <c r="G53" s="1168">
        <v>1022652290</v>
      </c>
      <c r="H53" s="828"/>
      <c r="I53" s="634">
        <f t="shared" si="2"/>
        <v>0</v>
      </c>
      <c r="J53" s="822">
        <f t="shared" si="3"/>
        <v>0</v>
      </c>
    </row>
    <row r="54" spans="1:12" x14ac:dyDescent="0.25">
      <c r="A54" s="634">
        <v>14422501</v>
      </c>
      <c r="B54" s="634" t="s">
        <v>1019</v>
      </c>
      <c r="C54" s="795">
        <v>1022652290</v>
      </c>
      <c r="E54" s="1167">
        <v>14422501</v>
      </c>
      <c r="F54" s="1167" t="s">
        <v>1019</v>
      </c>
      <c r="G54" s="1168">
        <v>1022652290</v>
      </c>
      <c r="H54" s="828"/>
      <c r="I54" s="634">
        <f t="shared" si="2"/>
        <v>0</v>
      </c>
      <c r="J54" s="822">
        <f t="shared" si="3"/>
        <v>0</v>
      </c>
    </row>
    <row r="55" spans="1:12" x14ac:dyDescent="0.25">
      <c r="A55" s="634">
        <v>1491</v>
      </c>
      <c r="B55" s="634" t="s">
        <v>126</v>
      </c>
      <c r="C55" s="795">
        <v>-943431803</v>
      </c>
      <c r="E55" s="1167">
        <v>1491</v>
      </c>
      <c r="F55" s="1167" t="s">
        <v>126</v>
      </c>
      <c r="G55" s="1168">
        <v>-943431803</v>
      </c>
      <c r="H55" s="828"/>
      <c r="I55" s="634">
        <f t="shared" si="2"/>
        <v>0</v>
      </c>
      <c r="J55" s="822">
        <f t="shared" si="3"/>
        <v>0</v>
      </c>
    </row>
    <row r="56" spans="1:12" x14ac:dyDescent="0.25">
      <c r="A56" s="634">
        <v>149112</v>
      </c>
      <c r="B56" s="634" t="s">
        <v>719</v>
      </c>
      <c r="C56" s="795">
        <v>-4012161</v>
      </c>
      <c r="E56" s="1167">
        <v>149112</v>
      </c>
      <c r="F56" s="1167" t="s">
        <v>719</v>
      </c>
      <c r="G56" s="1168">
        <v>-4012161</v>
      </c>
      <c r="H56" s="828"/>
      <c r="I56" s="634">
        <f t="shared" si="2"/>
        <v>0</v>
      </c>
      <c r="J56" s="822">
        <f t="shared" si="3"/>
        <v>0</v>
      </c>
      <c r="L56" s="1083">
        <f>+C44+C33</f>
        <v>37823473845.5</v>
      </c>
    </row>
    <row r="57" spans="1:12" x14ac:dyDescent="0.25">
      <c r="A57" s="634">
        <v>14911201</v>
      </c>
      <c r="B57" s="634" t="s">
        <v>720</v>
      </c>
      <c r="C57" s="795">
        <v>-4012161</v>
      </c>
      <c r="E57" s="1167">
        <v>14911201</v>
      </c>
      <c r="F57" s="1167" t="s">
        <v>720</v>
      </c>
      <c r="G57" s="1168">
        <v>-4012161</v>
      </c>
      <c r="H57" s="828"/>
      <c r="I57" s="634">
        <f t="shared" si="2"/>
        <v>0</v>
      </c>
      <c r="J57" s="822">
        <f t="shared" si="3"/>
        <v>0</v>
      </c>
      <c r="L57" s="1166">
        <f>+L56*1%</f>
        <v>378234738.45499998</v>
      </c>
    </row>
    <row r="58" spans="1:12" x14ac:dyDescent="0.25">
      <c r="A58" s="634">
        <v>149117</v>
      </c>
      <c r="B58" s="634" t="s">
        <v>721</v>
      </c>
      <c r="C58" s="795">
        <v>-56869392</v>
      </c>
      <c r="E58" s="1167">
        <v>149117</v>
      </c>
      <c r="F58" s="1167" t="s">
        <v>721</v>
      </c>
      <c r="G58" s="1168">
        <v>-56869392</v>
      </c>
      <c r="H58" s="828"/>
      <c r="I58" s="634">
        <f t="shared" si="2"/>
        <v>0</v>
      </c>
      <c r="J58" s="822">
        <f t="shared" si="3"/>
        <v>0</v>
      </c>
      <c r="L58" s="795">
        <v>392321729</v>
      </c>
    </row>
    <row r="59" spans="1:12" x14ac:dyDescent="0.25">
      <c r="A59" s="634">
        <v>14911701</v>
      </c>
      <c r="B59" s="634" t="s">
        <v>722</v>
      </c>
      <c r="C59" s="795">
        <v>-56869392</v>
      </c>
      <c r="E59" s="1167">
        <v>14911701</v>
      </c>
      <c r="F59" s="1167" t="s">
        <v>722</v>
      </c>
      <c r="G59" s="1168">
        <v>-56869392</v>
      </c>
      <c r="H59" s="828"/>
      <c r="I59" s="634">
        <f t="shared" si="2"/>
        <v>0</v>
      </c>
      <c r="J59" s="822">
        <f t="shared" si="3"/>
        <v>0</v>
      </c>
    </row>
    <row r="60" spans="1:12" x14ac:dyDescent="0.25">
      <c r="A60" s="634">
        <v>149122</v>
      </c>
      <c r="B60" s="634" t="s">
        <v>723</v>
      </c>
      <c r="C60" s="795">
        <v>-66622572</v>
      </c>
      <c r="E60" s="1167">
        <v>149122</v>
      </c>
      <c r="F60" s="1167" t="s">
        <v>723</v>
      </c>
      <c r="G60" s="1168">
        <v>-66622572</v>
      </c>
      <c r="H60" s="828"/>
      <c r="I60" s="634">
        <f t="shared" si="2"/>
        <v>0</v>
      </c>
      <c r="J60" s="822">
        <f t="shared" si="3"/>
        <v>0</v>
      </c>
      <c r="L60" s="1083"/>
    </row>
    <row r="61" spans="1:12" x14ac:dyDescent="0.25">
      <c r="A61" s="634">
        <v>14912201</v>
      </c>
      <c r="B61" s="634" t="s">
        <v>724</v>
      </c>
      <c r="C61" s="795">
        <v>-66622572</v>
      </c>
      <c r="E61" s="1167">
        <v>14912201</v>
      </c>
      <c r="F61" s="1167" t="s">
        <v>724</v>
      </c>
      <c r="G61" s="1168">
        <v>-66622572</v>
      </c>
      <c r="H61" s="828"/>
      <c r="I61" s="634">
        <f t="shared" si="2"/>
        <v>0</v>
      </c>
      <c r="J61" s="822">
        <f t="shared" si="3"/>
        <v>0</v>
      </c>
    </row>
    <row r="62" spans="1:12" x14ac:dyDescent="0.25">
      <c r="A62" s="634">
        <v>149127</v>
      </c>
      <c r="B62" s="634" t="s">
        <v>725</v>
      </c>
      <c r="C62" s="795">
        <v>-815927678</v>
      </c>
      <c r="E62" s="1167">
        <v>149127</v>
      </c>
      <c r="F62" s="1167" t="s">
        <v>725</v>
      </c>
      <c r="G62" s="1168">
        <v>-815927678</v>
      </c>
      <c r="H62" s="828"/>
      <c r="I62" s="634">
        <f t="shared" si="2"/>
        <v>0</v>
      </c>
      <c r="J62" s="822">
        <f t="shared" si="3"/>
        <v>0</v>
      </c>
    </row>
    <row r="63" spans="1:12" x14ac:dyDescent="0.25">
      <c r="A63" s="634">
        <v>14912701</v>
      </c>
      <c r="B63" s="634" t="s">
        <v>726</v>
      </c>
      <c r="C63" s="795">
        <v>-815927678</v>
      </c>
      <c r="E63" s="1167">
        <v>14912701</v>
      </c>
      <c r="F63" s="1167" t="s">
        <v>726</v>
      </c>
      <c r="G63" s="1168">
        <v>-815927678</v>
      </c>
      <c r="H63" s="828"/>
      <c r="I63" s="634">
        <f t="shared" si="2"/>
        <v>0</v>
      </c>
      <c r="J63" s="822">
        <f t="shared" si="3"/>
        <v>0</v>
      </c>
    </row>
    <row r="64" spans="1:12" x14ac:dyDescent="0.25">
      <c r="A64" s="1169">
        <v>1498</v>
      </c>
      <c r="B64" s="1169" t="s">
        <v>127</v>
      </c>
      <c r="C64" s="1170">
        <v>-387507066</v>
      </c>
      <c r="E64" s="1167">
        <v>1498</v>
      </c>
      <c r="F64" s="1167" t="s">
        <v>127</v>
      </c>
      <c r="G64" s="1168">
        <v>-387507066</v>
      </c>
      <c r="H64" s="828"/>
      <c r="I64" s="634">
        <f t="shared" si="2"/>
        <v>0</v>
      </c>
      <c r="J64" s="822">
        <f t="shared" si="3"/>
        <v>0</v>
      </c>
    </row>
    <row r="65" spans="1:10" x14ac:dyDescent="0.25">
      <c r="A65" s="1169">
        <v>149805</v>
      </c>
      <c r="B65" s="1169" t="s">
        <v>727</v>
      </c>
      <c r="C65" s="1170">
        <v>-345460317</v>
      </c>
      <c r="E65" s="1167">
        <v>149805</v>
      </c>
      <c r="F65" s="1167" t="s">
        <v>727</v>
      </c>
      <c r="G65" s="1168">
        <v>-345460317</v>
      </c>
      <c r="H65" s="828"/>
      <c r="I65" s="634">
        <f t="shared" si="2"/>
        <v>0</v>
      </c>
      <c r="J65" s="822">
        <f t="shared" si="3"/>
        <v>0</v>
      </c>
    </row>
    <row r="66" spans="1:10" x14ac:dyDescent="0.25">
      <c r="A66" s="1169">
        <v>14980501</v>
      </c>
      <c r="B66" s="1169" t="s">
        <v>728</v>
      </c>
      <c r="C66" s="1170">
        <v>-345460317</v>
      </c>
      <c r="E66" s="1167">
        <v>14980501</v>
      </c>
      <c r="F66" s="1167" t="s">
        <v>728</v>
      </c>
      <c r="G66" s="1168">
        <v>-345460317</v>
      </c>
      <c r="H66" s="828"/>
      <c r="I66" s="634">
        <f t="shared" si="2"/>
        <v>0</v>
      </c>
      <c r="J66" s="822">
        <f t="shared" si="3"/>
        <v>0</v>
      </c>
    </row>
    <row r="67" spans="1:10" x14ac:dyDescent="0.25">
      <c r="A67" s="1169">
        <v>149810</v>
      </c>
      <c r="B67" s="1169" t="s">
        <v>729</v>
      </c>
      <c r="C67" s="1170">
        <v>-42046749</v>
      </c>
      <c r="E67" s="1167">
        <v>149810</v>
      </c>
      <c r="F67" s="1167" t="s">
        <v>729</v>
      </c>
      <c r="G67" s="1168">
        <v>-42046749</v>
      </c>
      <c r="H67" s="828"/>
      <c r="I67" s="634">
        <f t="shared" si="2"/>
        <v>0</v>
      </c>
      <c r="J67" s="822">
        <f t="shared" si="3"/>
        <v>0</v>
      </c>
    </row>
    <row r="68" spans="1:10" x14ac:dyDescent="0.25">
      <c r="A68" s="1169">
        <v>14981001</v>
      </c>
      <c r="B68" s="1169" t="s">
        <v>730</v>
      </c>
      <c r="C68" s="1170">
        <v>-42046749</v>
      </c>
      <c r="E68" s="1167">
        <v>14981001</v>
      </c>
      <c r="F68" s="1167" t="s">
        <v>730</v>
      </c>
      <c r="G68" s="1168">
        <v>-42046749</v>
      </c>
      <c r="H68" s="828"/>
      <c r="I68" s="634">
        <f t="shared" si="2"/>
        <v>0</v>
      </c>
      <c r="J68" s="822">
        <f t="shared" si="3"/>
        <v>0</v>
      </c>
    </row>
    <row r="69" spans="1:10" x14ac:dyDescent="0.25">
      <c r="A69" s="634">
        <v>16</v>
      </c>
      <c r="B69" s="634" t="s">
        <v>172</v>
      </c>
      <c r="C69" s="795">
        <v>2459155061</v>
      </c>
      <c r="E69" s="1167">
        <v>16</v>
      </c>
      <c r="F69" s="1167" t="s">
        <v>172</v>
      </c>
      <c r="G69" s="1168">
        <v>2459155061</v>
      </c>
      <c r="H69" s="828"/>
      <c r="I69" s="634">
        <f t="shared" si="2"/>
        <v>0</v>
      </c>
      <c r="J69" s="822">
        <f t="shared" si="3"/>
        <v>0</v>
      </c>
    </row>
    <row r="70" spans="1:10" x14ac:dyDescent="0.25">
      <c r="A70" s="826">
        <v>1605</v>
      </c>
      <c r="B70" s="826" t="s">
        <v>731</v>
      </c>
      <c r="C70" s="1110">
        <v>41237716</v>
      </c>
      <c r="E70" s="1167">
        <v>1605</v>
      </c>
      <c r="F70" s="1167" t="s">
        <v>731</v>
      </c>
      <c r="G70" s="1168">
        <v>41237716</v>
      </c>
      <c r="H70" s="828"/>
      <c r="I70" s="634">
        <f t="shared" si="2"/>
        <v>0</v>
      </c>
      <c r="J70" s="822">
        <f t="shared" si="3"/>
        <v>0</v>
      </c>
    </row>
    <row r="71" spans="1:10" x14ac:dyDescent="0.25">
      <c r="A71" s="634">
        <v>160505</v>
      </c>
      <c r="B71" s="634" t="s">
        <v>732</v>
      </c>
      <c r="C71" s="795">
        <v>1486362</v>
      </c>
      <c r="E71" s="1167">
        <v>160505</v>
      </c>
      <c r="F71" s="1167" t="s">
        <v>732</v>
      </c>
      <c r="G71" s="1168">
        <v>1486362</v>
      </c>
      <c r="H71" s="828"/>
      <c r="I71" s="634">
        <f t="shared" si="2"/>
        <v>0</v>
      </c>
      <c r="J71" s="822">
        <f t="shared" si="3"/>
        <v>0</v>
      </c>
    </row>
    <row r="72" spans="1:10" x14ac:dyDescent="0.25">
      <c r="A72" s="634">
        <v>16050501</v>
      </c>
      <c r="B72" s="634" t="s">
        <v>733</v>
      </c>
      <c r="C72" s="795">
        <v>1486362</v>
      </c>
      <c r="E72" s="1167">
        <v>16050501</v>
      </c>
      <c r="F72" s="1167" t="s">
        <v>733</v>
      </c>
      <c r="G72" s="1168">
        <v>1486362</v>
      </c>
      <c r="H72" s="828"/>
      <c r="I72" s="634">
        <f t="shared" si="2"/>
        <v>0</v>
      </c>
      <c r="J72" s="822">
        <f t="shared" si="3"/>
        <v>0</v>
      </c>
    </row>
    <row r="73" spans="1:10" x14ac:dyDescent="0.25">
      <c r="A73" s="634">
        <v>160520</v>
      </c>
      <c r="B73" s="634" t="s">
        <v>1022</v>
      </c>
      <c r="C73" s="795">
        <v>1472952</v>
      </c>
      <c r="E73" s="1167">
        <v>160520</v>
      </c>
      <c r="F73" s="1167" t="s">
        <v>1022</v>
      </c>
      <c r="G73" s="1168">
        <v>1472952</v>
      </c>
      <c r="H73" s="828"/>
      <c r="I73" s="634">
        <f t="shared" si="2"/>
        <v>0</v>
      </c>
      <c r="J73" s="822">
        <f t="shared" si="3"/>
        <v>0</v>
      </c>
    </row>
    <row r="74" spans="1:10" x14ac:dyDescent="0.25">
      <c r="A74" s="634">
        <v>16052001</v>
      </c>
      <c r="B74" s="634" t="s">
        <v>1023</v>
      </c>
      <c r="C74" s="795">
        <v>1472952</v>
      </c>
      <c r="E74" s="1167">
        <v>16052001</v>
      </c>
      <c r="F74" s="1167" t="s">
        <v>1023</v>
      </c>
      <c r="G74" s="1168">
        <v>1472952</v>
      </c>
      <c r="H74" s="828"/>
      <c r="I74" s="634">
        <f t="shared" si="2"/>
        <v>0</v>
      </c>
      <c r="J74" s="822">
        <f t="shared" si="3"/>
        <v>0</v>
      </c>
    </row>
    <row r="75" spans="1:10" x14ac:dyDescent="0.25">
      <c r="A75" s="634">
        <v>160535</v>
      </c>
      <c r="B75" s="634" t="s">
        <v>734</v>
      </c>
      <c r="C75" s="795">
        <v>3448543</v>
      </c>
      <c r="E75" s="1167">
        <v>160535</v>
      </c>
      <c r="F75" s="1167" t="s">
        <v>734</v>
      </c>
      <c r="G75" s="1168">
        <v>3448543</v>
      </c>
      <c r="H75" s="828"/>
      <c r="I75" s="634">
        <f t="shared" si="2"/>
        <v>0</v>
      </c>
      <c r="J75" s="822">
        <f t="shared" si="3"/>
        <v>0</v>
      </c>
    </row>
    <row r="76" spans="1:10" x14ac:dyDescent="0.25">
      <c r="A76" s="634">
        <v>16053501</v>
      </c>
      <c r="B76" s="634" t="s">
        <v>735</v>
      </c>
      <c r="C76" s="795">
        <v>3448543</v>
      </c>
      <c r="E76" s="1167">
        <v>16053501</v>
      </c>
      <c r="F76" s="1167" t="s">
        <v>735</v>
      </c>
      <c r="G76" s="1168">
        <v>3448543</v>
      </c>
      <c r="H76" s="828"/>
      <c r="I76" s="634">
        <f t="shared" si="2"/>
        <v>0</v>
      </c>
      <c r="J76" s="822">
        <f t="shared" si="3"/>
        <v>0</v>
      </c>
    </row>
    <row r="77" spans="1:10" x14ac:dyDescent="0.25">
      <c r="A77" s="634">
        <v>160595</v>
      </c>
      <c r="B77" s="634" t="s">
        <v>736</v>
      </c>
      <c r="C77" s="795">
        <v>34829859</v>
      </c>
      <c r="E77" s="1167">
        <v>160595</v>
      </c>
      <c r="F77" s="1167" t="s">
        <v>736</v>
      </c>
      <c r="G77" s="1168">
        <v>34829859</v>
      </c>
      <c r="H77" s="828"/>
      <c r="I77" s="634">
        <f t="shared" si="2"/>
        <v>0</v>
      </c>
      <c r="J77" s="822">
        <f t="shared" si="3"/>
        <v>0</v>
      </c>
    </row>
    <row r="78" spans="1:10" x14ac:dyDescent="0.25">
      <c r="A78" s="634">
        <v>16059501</v>
      </c>
      <c r="B78" s="634" t="s">
        <v>737</v>
      </c>
      <c r="C78" s="795">
        <v>34829859</v>
      </c>
      <c r="E78" s="1167">
        <v>16059501</v>
      </c>
      <c r="F78" s="1167" t="s">
        <v>737</v>
      </c>
      <c r="G78" s="1168">
        <v>34829859</v>
      </c>
      <c r="H78" s="828"/>
      <c r="I78" s="634">
        <f t="shared" si="2"/>
        <v>0</v>
      </c>
      <c r="J78" s="822">
        <f t="shared" si="3"/>
        <v>0</v>
      </c>
    </row>
    <row r="79" spans="1:10" x14ac:dyDescent="0.25">
      <c r="A79" s="826">
        <v>1625</v>
      </c>
      <c r="B79" s="826" t="s">
        <v>738</v>
      </c>
      <c r="C79" s="1110">
        <v>0</v>
      </c>
      <c r="E79" s="1167">
        <v>1625</v>
      </c>
      <c r="F79" s="1167" t="s">
        <v>738</v>
      </c>
      <c r="G79" s="1168">
        <v>0</v>
      </c>
      <c r="H79" s="828"/>
      <c r="I79" s="634">
        <f t="shared" si="2"/>
        <v>0</v>
      </c>
      <c r="J79" s="822">
        <f t="shared" si="3"/>
        <v>0</v>
      </c>
    </row>
    <row r="80" spans="1:10" x14ac:dyDescent="0.25">
      <c r="A80" s="634">
        <v>162510</v>
      </c>
      <c r="B80" s="634" t="s">
        <v>173</v>
      </c>
      <c r="C80" s="795">
        <v>0</v>
      </c>
      <c r="E80" s="1167">
        <v>162510</v>
      </c>
      <c r="F80" s="1167" t="s">
        <v>173</v>
      </c>
      <c r="G80" s="1168">
        <v>0</v>
      </c>
      <c r="H80" s="828"/>
      <c r="I80" s="634">
        <f t="shared" si="2"/>
        <v>0</v>
      </c>
      <c r="J80" s="822">
        <f t="shared" si="3"/>
        <v>0</v>
      </c>
    </row>
    <row r="81" spans="1:10" x14ac:dyDescent="0.25">
      <c r="A81" s="634">
        <v>16251001</v>
      </c>
      <c r="B81" s="634" t="s">
        <v>739</v>
      </c>
      <c r="C81" s="795">
        <v>0</v>
      </c>
      <c r="E81" s="1167">
        <v>16251001</v>
      </c>
      <c r="F81" s="1167" t="s">
        <v>739</v>
      </c>
      <c r="G81" s="1168">
        <v>0</v>
      </c>
      <c r="H81" s="828"/>
      <c r="I81" s="634">
        <f t="shared" si="2"/>
        <v>0</v>
      </c>
      <c r="J81" s="822">
        <f t="shared" si="3"/>
        <v>0</v>
      </c>
    </row>
    <row r="82" spans="1:10" x14ac:dyDescent="0.25">
      <c r="A82" s="634">
        <v>162595</v>
      </c>
      <c r="B82" s="634" t="s">
        <v>1293</v>
      </c>
      <c r="C82" s="795">
        <v>0</v>
      </c>
      <c r="E82" s="1167">
        <v>162595</v>
      </c>
      <c r="F82" s="1167" t="s">
        <v>1293</v>
      </c>
      <c r="G82" s="1168">
        <v>0</v>
      </c>
      <c r="H82" s="828"/>
      <c r="I82" s="634">
        <f t="shared" si="2"/>
        <v>0</v>
      </c>
      <c r="J82" s="822">
        <f t="shared" si="3"/>
        <v>0</v>
      </c>
    </row>
    <row r="83" spans="1:10" x14ac:dyDescent="0.25">
      <c r="A83" s="634">
        <v>16259501</v>
      </c>
      <c r="B83" s="634" t="s">
        <v>1294</v>
      </c>
      <c r="C83" s="795">
        <v>0</v>
      </c>
      <c r="E83" s="1167">
        <v>16259501</v>
      </c>
      <c r="F83" s="1167" t="s">
        <v>1294</v>
      </c>
      <c r="G83" s="1168">
        <v>0</v>
      </c>
      <c r="H83" s="828"/>
      <c r="I83" s="634">
        <f t="shared" si="2"/>
        <v>0</v>
      </c>
      <c r="J83" s="822">
        <f t="shared" si="3"/>
        <v>0</v>
      </c>
    </row>
    <row r="84" spans="1:10" x14ac:dyDescent="0.25">
      <c r="A84" s="826">
        <v>1635</v>
      </c>
      <c r="B84" s="826" t="s">
        <v>1295</v>
      </c>
      <c r="C84" s="1110">
        <v>0</v>
      </c>
      <c r="E84" s="1167">
        <v>1635</v>
      </c>
      <c r="F84" s="1167" t="s">
        <v>1295</v>
      </c>
      <c r="G84" s="1168">
        <v>0</v>
      </c>
      <c r="H84" s="828"/>
      <c r="I84" s="634">
        <f t="shared" si="2"/>
        <v>0</v>
      </c>
      <c r="J84" s="822">
        <f t="shared" si="3"/>
        <v>0</v>
      </c>
    </row>
    <row r="85" spans="1:10" x14ac:dyDescent="0.25">
      <c r="A85" s="634">
        <v>163505</v>
      </c>
      <c r="B85" s="634" t="s">
        <v>1296</v>
      </c>
      <c r="C85" s="795">
        <v>0</v>
      </c>
      <c r="E85" s="1167">
        <v>163505</v>
      </c>
      <c r="F85" s="1167" t="s">
        <v>1296</v>
      </c>
      <c r="G85" s="1168">
        <v>0</v>
      </c>
      <c r="H85" s="828"/>
      <c r="I85" s="634">
        <f t="shared" si="2"/>
        <v>0</v>
      </c>
      <c r="J85" s="822">
        <f t="shared" si="3"/>
        <v>0</v>
      </c>
    </row>
    <row r="86" spans="1:10" x14ac:dyDescent="0.25">
      <c r="A86" s="634">
        <v>16350501</v>
      </c>
      <c r="B86" s="634" t="s">
        <v>1297</v>
      </c>
      <c r="C86" s="795">
        <v>0</v>
      </c>
      <c r="E86" s="1167">
        <v>16350501</v>
      </c>
      <c r="F86" s="1167" t="s">
        <v>1297</v>
      </c>
      <c r="G86" s="1168">
        <v>0</v>
      </c>
      <c r="H86" s="828"/>
      <c r="I86" s="634">
        <f t="shared" si="2"/>
        <v>0</v>
      </c>
      <c r="J86" s="822">
        <f t="shared" si="3"/>
        <v>0</v>
      </c>
    </row>
    <row r="87" spans="1:10" x14ac:dyDescent="0.25">
      <c r="A87" s="634">
        <v>1640</v>
      </c>
      <c r="B87" s="634" t="s">
        <v>174</v>
      </c>
      <c r="C87" s="795">
        <v>928102897</v>
      </c>
      <c r="E87" s="1167">
        <v>1640</v>
      </c>
      <c r="F87" s="1167" t="s">
        <v>174</v>
      </c>
      <c r="G87" s="1168">
        <v>928102897</v>
      </c>
      <c r="H87" s="828"/>
      <c r="I87" s="634">
        <f t="shared" si="2"/>
        <v>0</v>
      </c>
      <c r="J87" s="822">
        <f t="shared" si="3"/>
        <v>0</v>
      </c>
    </row>
    <row r="88" spans="1:10" x14ac:dyDescent="0.25">
      <c r="A88" s="634">
        <v>164030</v>
      </c>
      <c r="B88" s="634" t="s">
        <v>740</v>
      </c>
      <c r="C88" s="795">
        <v>927232673</v>
      </c>
      <c r="E88" s="1167">
        <v>164030</v>
      </c>
      <c r="F88" s="1167" t="s">
        <v>740</v>
      </c>
      <c r="G88" s="1168">
        <v>927232673</v>
      </c>
      <c r="H88" s="828"/>
      <c r="I88" s="634">
        <f t="shared" si="2"/>
        <v>0</v>
      </c>
      <c r="J88" s="822">
        <f t="shared" si="3"/>
        <v>0</v>
      </c>
    </row>
    <row r="89" spans="1:10" x14ac:dyDescent="0.25">
      <c r="A89" s="634">
        <v>16403001</v>
      </c>
      <c r="B89" s="634" t="s">
        <v>741</v>
      </c>
      <c r="C89" s="795">
        <v>927232673</v>
      </c>
      <c r="E89" s="1167">
        <v>16403001</v>
      </c>
      <c r="F89" s="1167" t="s">
        <v>741</v>
      </c>
      <c r="G89" s="1168">
        <v>927232673</v>
      </c>
      <c r="H89" s="828"/>
      <c r="I89" s="634">
        <f t="shared" si="2"/>
        <v>0</v>
      </c>
      <c r="J89" s="822">
        <f t="shared" si="3"/>
        <v>0</v>
      </c>
    </row>
    <row r="90" spans="1:10" x14ac:dyDescent="0.25">
      <c r="A90" s="634">
        <v>164095</v>
      </c>
      <c r="B90" s="634" t="s">
        <v>742</v>
      </c>
      <c r="C90" s="795">
        <v>870224</v>
      </c>
      <c r="E90" s="1167">
        <v>164095</v>
      </c>
      <c r="F90" s="1167" t="s">
        <v>742</v>
      </c>
      <c r="G90" s="1168">
        <v>870224</v>
      </c>
      <c r="H90" s="828"/>
      <c r="I90" s="634">
        <f t="shared" si="2"/>
        <v>0</v>
      </c>
      <c r="J90" s="822">
        <f t="shared" si="3"/>
        <v>0</v>
      </c>
    </row>
    <row r="91" spans="1:10" x14ac:dyDescent="0.25">
      <c r="A91" s="634">
        <v>16409501</v>
      </c>
      <c r="B91" s="634" t="s">
        <v>743</v>
      </c>
      <c r="C91" s="795">
        <v>870224</v>
      </c>
      <c r="E91" s="1167">
        <v>16409501</v>
      </c>
      <c r="F91" s="1167" t="s">
        <v>743</v>
      </c>
      <c r="G91" s="1168">
        <v>870224</v>
      </c>
      <c r="H91" s="828"/>
      <c r="I91" s="634">
        <f t="shared" si="2"/>
        <v>0</v>
      </c>
      <c r="J91" s="822">
        <f t="shared" si="3"/>
        <v>0</v>
      </c>
    </row>
    <row r="92" spans="1:10" x14ac:dyDescent="0.25">
      <c r="A92" s="634">
        <v>1650</v>
      </c>
      <c r="B92" s="634" t="s">
        <v>744</v>
      </c>
      <c r="C92" s="795">
        <v>869896340</v>
      </c>
      <c r="E92" s="1167">
        <v>1650</v>
      </c>
      <c r="F92" s="1167" t="s">
        <v>744</v>
      </c>
      <c r="G92" s="1168">
        <v>869896340</v>
      </c>
      <c r="H92" s="828"/>
      <c r="I92" s="634">
        <f t="shared" si="2"/>
        <v>0</v>
      </c>
      <c r="J92" s="822">
        <f t="shared" si="3"/>
        <v>0</v>
      </c>
    </row>
    <row r="93" spans="1:10" x14ac:dyDescent="0.25">
      <c r="A93" s="634">
        <v>165005</v>
      </c>
      <c r="B93" s="634" t="s">
        <v>745</v>
      </c>
      <c r="C93" s="795">
        <v>869896340</v>
      </c>
      <c r="E93" s="1167">
        <v>165005</v>
      </c>
      <c r="F93" s="1167" t="s">
        <v>745</v>
      </c>
      <c r="G93" s="1168">
        <v>869896340</v>
      </c>
      <c r="H93" s="828"/>
      <c r="I93" s="634">
        <f t="shared" si="2"/>
        <v>0</v>
      </c>
      <c r="J93" s="822">
        <f t="shared" si="3"/>
        <v>0</v>
      </c>
    </row>
    <row r="94" spans="1:10" x14ac:dyDescent="0.25">
      <c r="A94" s="634">
        <v>16500501</v>
      </c>
      <c r="B94" s="634" t="s">
        <v>746</v>
      </c>
      <c r="C94" s="795">
        <v>869896340</v>
      </c>
      <c r="E94" s="1167">
        <v>16500501</v>
      </c>
      <c r="F94" s="1167" t="s">
        <v>746</v>
      </c>
      <c r="G94" s="1168">
        <v>869896340</v>
      </c>
      <c r="H94" s="828"/>
      <c r="I94" s="634">
        <f t="shared" si="2"/>
        <v>0</v>
      </c>
      <c r="J94" s="822">
        <f t="shared" si="3"/>
        <v>0</v>
      </c>
    </row>
    <row r="95" spans="1:10" x14ac:dyDescent="0.25">
      <c r="A95" s="634">
        <v>1655</v>
      </c>
      <c r="B95" s="634" t="s">
        <v>175</v>
      </c>
      <c r="C95" s="795">
        <v>137626953</v>
      </c>
      <c r="E95" s="1167">
        <v>1655</v>
      </c>
      <c r="F95" s="1167" t="s">
        <v>175</v>
      </c>
      <c r="G95" s="1168">
        <v>137626953</v>
      </c>
      <c r="H95" s="828"/>
      <c r="I95" s="634">
        <f t="shared" si="2"/>
        <v>0</v>
      </c>
      <c r="J95" s="822">
        <f t="shared" si="3"/>
        <v>0</v>
      </c>
    </row>
    <row r="96" spans="1:10" x14ac:dyDescent="0.25">
      <c r="A96" s="634">
        <v>165518</v>
      </c>
      <c r="B96" s="634" t="s">
        <v>740</v>
      </c>
      <c r="C96" s="795">
        <v>61416306</v>
      </c>
      <c r="E96" s="1167">
        <v>165518</v>
      </c>
      <c r="F96" s="1167" t="s">
        <v>740</v>
      </c>
      <c r="G96" s="1168">
        <v>61416306</v>
      </c>
      <c r="H96" s="828"/>
      <c r="I96" s="634">
        <f t="shared" si="2"/>
        <v>0</v>
      </c>
      <c r="J96" s="822">
        <f t="shared" si="3"/>
        <v>0</v>
      </c>
    </row>
    <row r="97" spans="1:10" x14ac:dyDescent="0.25">
      <c r="A97" s="634">
        <v>16551801</v>
      </c>
      <c r="B97" s="634" t="s">
        <v>747</v>
      </c>
      <c r="C97" s="795">
        <v>61477924</v>
      </c>
      <c r="E97" s="1167">
        <v>16551801</v>
      </c>
      <c r="F97" s="1167" t="s">
        <v>747</v>
      </c>
      <c r="G97" s="1168">
        <v>61477924</v>
      </c>
      <c r="H97" s="828"/>
      <c r="I97" s="634">
        <f t="shared" si="2"/>
        <v>0</v>
      </c>
      <c r="J97" s="822">
        <f t="shared" si="3"/>
        <v>0</v>
      </c>
    </row>
    <row r="98" spans="1:10" x14ac:dyDescent="0.25">
      <c r="A98" s="634">
        <v>1655180101</v>
      </c>
      <c r="B98" s="634" t="s">
        <v>748</v>
      </c>
      <c r="C98" s="795">
        <v>61477924</v>
      </c>
      <c r="E98" s="1167">
        <v>1655180101</v>
      </c>
      <c r="F98" s="1167" t="s">
        <v>748</v>
      </c>
      <c r="G98" s="1168">
        <v>61477924</v>
      </c>
      <c r="H98" s="828"/>
      <c r="I98" s="634">
        <f t="shared" si="2"/>
        <v>0</v>
      </c>
      <c r="J98" s="822">
        <f t="shared" si="3"/>
        <v>0</v>
      </c>
    </row>
    <row r="99" spans="1:10" x14ac:dyDescent="0.25">
      <c r="A99" s="634">
        <v>16551802</v>
      </c>
      <c r="B99" s="634" t="s">
        <v>749</v>
      </c>
      <c r="C99" s="795">
        <v>-61618</v>
      </c>
      <c r="E99" s="1167">
        <v>16551802</v>
      </c>
      <c r="F99" s="1167" t="s">
        <v>749</v>
      </c>
      <c r="G99" s="1168">
        <v>-61618</v>
      </c>
      <c r="H99" s="828"/>
      <c r="I99" s="634">
        <f t="shared" si="2"/>
        <v>0</v>
      </c>
      <c r="J99" s="822">
        <f t="shared" si="3"/>
        <v>0</v>
      </c>
    </row>
    <row r="100" spans="1:10" x14ac:dyDescent="0.25">
      <c r="A100" s="634">
        <v>1655180201</v>
      </c>
      <c r="B100" s="634" t="s">
        <v>750</v>
      </c>
      <c r="C100" s="795">
        <v>-61618</v>
      </c>
      <c r="E100" s="1167">
        <v>1655180201</v>
      </c>
      <c r="F100" s="1167" t="s">
        <v>750</v>
      </c>
      <c r="G100" s="1168">
        <v>-61618</v>
      </c>
      <c r="H100" s="828"/>
      <c r="I100" s="634">
        <f t="shared" si="2"/>
        <v>0</v>
      </c>
      <c r="J100" s="822">
        <f t="shared" si="3"/>
        <v>0</v>
      </c>
    </row>
    <row r="101" spans="1:10" x14ac:dyDescent="0.25">
      <c r="A101" s="634">
        <v>165522</v>
      </c>
      <c r="B101" s="634" t="s">
        <v>751</v>
      </c>
      <c r="C101" s="795">
        <v>15900595</v>
      </c>
      <c r="E101" s="1167">
        <v>165522</v>
      </c>
      <c r="F101" s="1167" t="s">
        <v>751</v>
      </c>
      <c r="G101" s="1168">
        <v>15900595</v>
      </c>
      <c r="H101" s="828"/>
      <c r="I101" s="634">
        <f t="shared" si="2"/>
        <v>0</v>
      </c>
      <c r="J101" s="822">
        <f t="shared" si="3"/>
        <v>0</v>
      </c>
    </row>
    <row r="102" spans="1:10" x14ac:dyDescent="0.25">
      <c r="A102" s="634">
        <v>16552201</v>
      </c>
      <c r="B102" s="634" t="s">
        <v>747</v>
      </c>
      <c r="C102" s="795">
        <v>15490571</v>
      </c>
      <c r="E102" s="1167">
        <v>16552201</v>
      </c>
      <c r="F102" s="1167" t="s">
        <v>747</v>
      </c>
      <c r="G102" s="1168">
        <v>15490571</v>
      </c>
      <c r="H102" s="828"/>
      <c r="I102" s="634">
        <f t="shared" si="2"/>
        <v>0</v>
      </c>
      <c r="J102" s="822">
        <f t="shared" si="3"/>
        <v>0</v>
      </c>
    </row>
    <row r="103" spans="1:10" x14ac:dyDescent="0.25">
      <c r="A103" s="634">
        <v>1655220101</v>
      </c>
      <c r="B103" s="634" t="s">
        <v>752</v>
      </c>
      <c r="C103" s="795">
        <v>15490571</v>
      </c>
      <c r="E103" s="1167">
        <v>1655220101</v>
      </c>
      <c r="F103" s="1167" t="s">
        <v>752</v>
      </c>
      <c r="G103" s="1168">
        <v>15490571</v>
      </c>
      <c r="H103" s="828"/>
      <c r="I103" s="634">
        <f t="shared" si="2"/>
        <v>0</v>
      </c>
      <c r="J103" s="822">
        <f t="shared" si="3"/>
        <v>0</v>
      </c>
    </row>
    <row r="104" spans="1:10" x14ac:dyDescent="0.25">
      <c r="A104" s="634">
        <v>16552202</v>
      </c>
      <c r="B104" s="634" t="s">
        <v>749</v>
      </c>
      <c r="C104" s="795">
        <v>410024</v>
      </c>
      <c r="E104" s="1167">
        <v>16552202</v>
      </c>
      <c r="F104" s="1167" t="s">
        <v>749</v>
      </c>
      <c r="G104" s="1168">
        <v>410024</v>
      </c>
      <c r="H104" s="828"/>
      <c r="I104" s="634">
        <f t="shared" si="2"/>
        <v>0</v>
      </c>
      <c r="J104" s="822">
        <f t="shared" si="3"/>
        <v>0</v>
      </c>
    </row>
    <row r="105" spans="1:10" x14ac:dyDescent="0.25">
      <c r="A105" s="634">
        <v>1655220201</v>
      </c>
      <c r="B105" s="634" t="s">
        <v>753</v>
      </c>
      <c r="C105" s="795">
        <v>410024</v>
      </c>
      <c r="E105" s="1167">
        <v>1655220201</v>
      </c>
      <c r="F105" s="1167" t="s">
        <v>753</v>
      </c>
      <c r="G105" s="1168">
        <v>410024</v>
      </c>
      <c r="H105" s="828"/>
      <c r="I105" s="634">
        <f t="shared" si="2"/>
        <v>0</v>
      </c>
      <c r="J105" s="822">
        <f t="shared" si="3"/>
        <v>0</v>
      </c>
    </row>
    <row r="106" spans="1:10" x14ac:dyDescent="0.25">
      <c r="A106" s="634">
        <v>165524</v>
      </c>
      <c r="B106" s="634" t="s">
        <v>754</v>
      </c>
      <c r="C106" s="795">
        <v>6986480</v>
      </c>
      <c r="E106" s="1167">
        <v>165524</v>
      </c>
      <c r="F106" s="1167" t="s">
        <v>754</v>
      </c>
      <c r="G106" s="1168">
        <v>6986480</v>
      </c>
      <c r="H106" s="828"/>
      <c r="I106" s="634">
        <f t="shared" si="2"/>
        <v>0</v>
      </c>
      <c r="J106" s="822">
        <f t="shared" si="3"/>
        <v>0</v>
      </c>
    </row>
    <row r="107" spans="1:10" x14ac:dyDescent="0.25">
      <c r="A107" s="634">
        <v>16552401</v>
      </c>
      <c r="B107" s="634" t="s">
        <v>747</v>
      </c>
      <c r="C107" s="795">
        <v>6990555</v>
      </c>
      <c r="E107" s="1167">
        <v>16552401</v>
      </c>
      <c r="F107" s="1167" t="s">
        <v>747</v>
      </c>
      <c r="G107" s="1168">
        <v>6990555</v>
      </c>
      <c r="H107" s="828"/>
      <c r="I107" s="634">
        <f t="shared" si="2"/>
        <v>0</v>
      </c>
      <c r="J107" s="822">
        <f t="shared" si="3"/>
        <v>0</v>
      </c>
    </row>
    <row r="108" spans="1:10" x14ac:dyDescent="0.25">
      <c r="A108" s="634">
        <v>1655240101</v>
      </c>
      <c r="B108" s="634" t="s">
        <v>755</v>
      </c>
      <c r="C108" s="795">
        <v>6990555</v>
      </c>
      <c r="E108" s="1167">
        <v>1655240101</v>
      </c>
      <c r="F108" s="1167" t="s">
        <v>755</v>
      </c>
      <c r="G108" s="1168">
        <v>6990555</v>
      </c>
      <c r="H108" s="828"/>
      <c r="I108" s="634">
        <f t="shared" ref="I108:I121" si="4">+A108-E108</f>
        <v>0</v>
      </c>
      <c r="J108" s="822">
        <f t="shared" ref="J108:J121" si="5">+C108-G108</f>
        <v>0</v>
      </c>
    </row>
    <row r="109" spans="1:10" x14ac:dyDescent="0.25">
      <c r="A109" s="634">
        <v>16552402</v>
      </c>
      <c r="B109" s="634" t="s">
        <v>749</v>
      </c>
      <c r="C109" s="795">
        <v>-4075</v>
      </c>
      <c r="E109" s="1167">
        <v>16552402</v>
      </c>
      <c r="F109" s="1167" t="s">
        <v>749</v>
      </c>
      <c r="G109" s="1168">
        <v>-4075</v>
      </c>
      <c r="H109" s="828"/>
      <c r="I109" s="634">
        <f t="shared" si="4"/>
        <v>0</v>
      </c>
      <c r="J109" s="822">
        <f t="shared" si="5"/>
        <v>0</v>
      </c>
    </row>
    <row r="110" spans="1:10" x14ac:dyDescent="0.25">
      <c r="A110" s="634">
        <v>1655240201</v>
      </c>
      <c r="B110" s="634" t="s">
        <v>1000</v>
      </c>
      <c r="C110" s="795">
        <v>-4075</v>
      </c>
      <c r="E110" s="1167">
        <v>1655240201</v>
      </c>
      <c r="F110" s="1167" t="s">
        <v>1000</v>
      </c>
      <c r="G110" s="1168">
        <v>-4075</v>
      </c>
      <c r="H110" s="828"/>
      <c r="I110" s="634">
        <f t="shared" si="4"/>
        <v>0</v>
      </c>
      <c r="J110" s="822">
        <f t="shared" si="5"/>
        <v>0</v>
      </c>
    </row>
    <row r="111" spans="1:10" x14ac:dyDescent="0.25">
      <c r="A111" s="634">
        <v>165526</v>
      </c>
      <c r="B111" s="634" t="s">
        <v>756</v>
      </c>
      <c r="C111" s="795">
        <v>12549162</v>
      </c>
      <c r="E111" s="1167">
        <v>165526</v>
      </c>
      <c r="F111" s="1167" t="s">
        <v>756</v>
      </c>
      <c r="G111" s="1168">
        <v>12549162</v>
      </c>
      <c r="H111" s="828"/>
      <c r="I111" s="634">
        <f t="shared" si="4"/>
        <v>0</v>
      </c>
      <c r="J111" s="822">
        <f t="shared" si="5"/>
        <v>0</v>
      </c>
    </row>
    <row r="112" spans="1:10" x14ac:dyDescent="0.25">
      <c r="A112" s="634">
        <v>16552601</v>
      </c>
      <c r="B112" s="634" t="s">
        <v>747</v>
      </c>
      <c r="C112" s="795">
        <v>12986869</v>
      </c>
      <c r="E112" s="1167">
        <v>16552601</v>
      </c>
      <c r="F112" s="1167" t="s">
        <v>747</v>
      </c>
      <c r="G112" s="1168">
        <v>12986869</v>
      </c>
      <c r="H112" s="828"/>
      <c r="I112" s="634">
        <f t="shared" si="4"/>
        <v>0</v>
      </c>
      <c r="J112" s="822">
        <f t="shared" si="5"/>
        <v>0</v>
      </c>
    </row>
    <row r="113" spans="1:10" x14ac:dyDescent="0.25">
      <c r="A113" s="634">
        <v>1655260101</v>
      </c>
      <c r="B113" s="634" t="s">
        <v>757</v>
      </c>
      <c r="C113" s="795">
        <v>12986869</v>
      </c>
      <c r="E113" s="1167">
        <v>1655260101</v>
      </c>
      <c r="F113" s="1167" t="s">
        <v>757</v>
      </c>
      <c r="G113" s="1168">
        <v>12986869</v>
      </c>
      <c r="H113" s="828"/>
      <c r="I113" s="634">
        <f t="shared" si="4"/>
        <v>0</v>
      </c>
      <c r="J113" s="822">
        <f t="shared" si="5"/>
        <v>0</v>
      </c>
    </row>
    <row r="114" spans="1:10" x14ac:dyDescent="0.25">
      <c r="A114" s="634">
        <v>16552602</v>
      </c>
      <c r="B114" s="634" t="s">
        <v>749</v>
      </c>
      <c r="C114" s="795">
        <v>-437707</v>
      </c>
      <c r="E114" s="1167">
        <v>16552602</v>
      </c>
      <c r="F114" s="1167" t="s">
        <v>749</v>
      </c>
      <c r="G114" s="1168">
        <v>-437707</v>
      </c>
      <c r="H114" s="828"/>
      <c r="I114" s="634">
        <f t="shared" si="4"/>
        <v>0</v>
      </c>
      <c r="J114" s="822">
        <f t="shared" si="5"/>
        <v>0</v>
      </c>
    </row>
    <row r="115" spans="1:10" x14ac:dyDescent="0.25">
      <c r="A115" s="634">
        <v>1655260201</v>
      </c>
      <c r="B115" s="634" t="s">
        <v>758</v>
      </c>
      <c r="C115" s="795">
        <v>-437707</v>
      </c>
      <c r="E115" s="1167">
        <v>1655260201</v>
      </c>
      <c r="F115" s="1167" t="s">
        <v>758</v>
      </c>
      <c r="G115" s="1168">
        <v>-437707</v>
      </c>
      <c r="H115" s="828"/>
      <c r="I115" s="634">
        <f t="shared" si="4"/>
        <v>0</v>
      </c>
      <c r="J115" s="822">
        <f t="shared" si="5"/>
        <v>0</v>
      </c>
    </row>
    <row r="116" spans="1:10" x14ac:dyDescent="0.25">
      <c r="A116" s="634">
        <v>165528</v>
      </c>
      <c r="B116" s="634" t="s">
        <v>759</v>
      </c>
      <c r="C116" s="795">
        <v>40774410</v>
      </c>
      <c r="E116" s="1167">
        <v>165528</v>
      </c>
      <c r="F116" s="1167" t="s">
        <v>759</v>
      </c>
      <c r="G116" s="1168">
        <v>40774410</v>
      </c>
      <c r="H116" s="828"/>
      <c r="I116" s="634">
        <f t="shared" si="4"/>
        <v>0</v>
      </c>
      <c r="J116" s="822">
        <f t="shared" si="5"/>
        <v>0</v>
      </c>
    </row>
    <row r="117" spans="1:10" x14ac:dyDescent="0.25">
      <c r="A117" s="634">
        <v>16552801</v>
      </c>
      <c r="B117" s="634" t="s">
        <v>747</v>
      </c>
      <c r="C117" s="795">
        <v>38429391</v>
      </c>
      <c r="E117" s="1167">
        <v>16552801</v>
      </c>
      <c r="F117" s="1167" t="s">
        <v>747</v>
      </c>
      <c r="G117" s="1168">
        <v>38429391</v>
      </c>
      <c r="H117" s="828"/>
      <c r="I117" s="634">
        <f t="shared" si="4"/>
        <v>0</v>
      </c>
      <c r="J117" s="822">
        <f t="shared" si="5"/>
        <v>0</v>
      </c>
    </row>
    <row r="118" spans="1:10" x14ac:dyDescent="0.25">
      <c r="A118" s="634">
        <v>1655280101</v>
      </c>
      <c r="B118" s="634" t="s">
        <v>760</v>
      </c>
      <c r="C118" s="795">
        <v>38429391</v>
      </c>
      <c r="E118" s="1167">
        <v>1655280101</v>
      </c>
      <c r="F118" s="1167" t="s">
        <v>760</v>
      </c>
      <c r="G118" s="1168">
        <v>38429391</v>
      </c>
      <c r="H118" s="828"/>
      <c r="I118" s="634">
        <f t="shared" si="4"/>
        <v>0</v>
      </c>
      <c r="J118" s="822">
        <f t="shared" si="5"/>
        <v>0</v>
      </c>
    </row>
    <row r="119" spans="1:10" x14ac:dyDescent="0.25">
      <c r="A119" s="634">
        <v>16552802</v>
      </c>
      <c r="B119" s="634" t="s">
        <v>749</v>
      </c>
      <c r="C119" s="795">
        <v>2345019</v>
      </c>
      <c r="E119" s="1167">
        <v>16552802</v>
      </c>
      <c r="F119" s="1167" t="s">
        <v>749</v>
      </c>
      <c r="G119" s="1168">
        <v>2345019</v>
      </c>
      <c r="H119" s="828"/>
      <c r="I119" s="634">
        <f t="shared" si="4"/>
        <v>0</v>
      </c>
      <c r="J119" s="822">
        <f t="shared" si="5"/>
        <v>0</v>
      </c>
    </row>
    <row r="120" spans="1:10" x14ac:dyDescent="0.25">
      <c r="A120" s="634">
        <v>1655280201</v>
      </c>
      <c r="B120" s="634" t="s">
        <v>761</v>
      </c>
      <c r="C120" s="795">
        <v>2345019</v>
      </c>
      <c r="E120" s="1167">
        <v>1655280201</v>
      </c>
      <c r="F120" s="1167" t="s">
        <v>761</v>
      </c>
      <c r="G120" s="1168">
        <v>2345019</v>
      </c>
      <c r="H120" s="828"/>
      <c r="I120" s="634">
        <f t="shared" si="4"/>
        <v>0</v>
      </c>
      <c r="J120" s="822">
        <f t="shared" si="5"/>
        <v>0</v>
      </c>
    </row>
    <row r="121" spans="1:10" x14ac:dyDescent="0.25">
      <c r="A121" s="634">
        <v>1660</v>
      </c>
      <c r="B121" s="634" t="s">
        <v>762</v>
      </c>
      <c r="C121" s="795">
        <v>905352</v>
      </c>
      <c r="E121" s="1167">
        <v>1660</v>
      </c>
      <c r="F121" s="1167" t="s">
        <v>762</v>
      </c>
      <c r="G121" s="1168">
        <v>905352</v>
      </c>
      <c r="H121" s="828"/>
      <c r="I121" s="634">
        <f t="shared" si="4"/>
        <v>0</v>
      </c>
      <c r="J121" s="822">
        <f t="shared" si="5"/>
        <v>0</v>
      </c>
    </row>
    <row r="122" spans="1:10" x14ac:dyDescent="0.25">
      <c r="A122" s="994">
        <v>16609503</v>
      </c>
      <c r="B122" s="994" t="s">
        <v>1381</v>
      </c>
      <c r="C122" s="795">
        <v>905352</v>
      </c>
      <c r="E122" s="1167">
        <v>16609503</v>
      </c>
      <c r="F122" s="1167" t="s">
        <v>1381</v>
      </c>
      <c r="G122" s="1168">
        <v>905352</v>
      </c>
      <c r="H122" s="828"/>
      <c r="I122" s="634">
        <f t="shared" ref="I122:I154" si="6">+A122-E122</f>
        <v>0</v>
      </c>
      <c r="J122" s="822">
        <f t="shared" ref="J122:J154" si="7">+C122-G122</f>
        <v>0</v>
      </c>
    </row>
    <row r="123" spans="1:10" x14ac:dyDescent="0.25">
      <c r="A123" s="1080">
        <v>1675</v>
      </c>
      <c r="B123" s="1080" t="s">
        <v>1438</v>
      </c>
      <c r="E123" s="1167"/>
      <c r="F123" s="1167"/>
      <c r="G123" s="1168"/>
      <c r="H123" s="828"/>
      <c r="I123" s="634">
        <f t="shared" si="6"/>
        <v>1675</v>
      </c>
      <c r="J123" s="822">
        <f t="shared" si="7"/>
        <v>0</v>
      </c>
    </row>
    <row r="124" spans="1:10" x14ac:dyDescent="0.25">
      <c r="A124" s="1079">
        <v>167520</v>
      </c>
      <c r="B124" s="1079" t="s">
        <v>1439</v>
      </c>
      <c r="E124" s="1167"/>
      <c r="F124" s="1167"/>
      <c r="G124" s="1168"/>
      <c r="H124" s="828"/>
      <c r="I124" s="634">
        <f t="shared" si="6"/>
        <v>167520</v>
      </c>
      <c r="J124" s="822">
        <f t="shared" si="7"/>
        <v>0</v>
      </c>
    </row>
    <row r="125" spans="1:10" x14ac:dyDescent="0.25">
      <c r="A125" s="1079">
        <v>16752001</v>
      </c>
      <c r="B125" s="1079" t="s">
        <v>1440</v>
      </c>
      <c r="E125" s="1167"/>
      <c r="F125" s="1167"/>
      <c r="G125" s="1168"/>
      <c r="H125" s="828"/>
      <c r="I125" s="634">
        <f t="shared" si="6"/>
        <v>16752001</v>
      </c>
      <c r="J125" s="822">
        <f t="shared" si="7"/>
        <v>0</v>
      </c>
    </row>
    <row r="126" spans="1:10" x14ac:dyDescent="0.25">
      <c r="A126" s="634">
        <v>1690</v>
      </c>
      <c r="B126" s="634" t="s">
        <v>30</v>
      </c>
      <c r="C126" s="795">
        <v>542435553</v>
      </c>
      <c r="E126" s="1167">
        <v>1690</v>
      </c>
      <c r="F126" s="1167" t="s">
        <v>30</v>
      </c>
      <c r="G126" s="1168">
        <v>542435553</v>
      </c>
      <c r="H126" s="828"/>
      <c r="I126" s="634">
        <f t="shared" si="6"/>
        <v>0</v>
      </c>
      <c r="J126" s="822">
        <f t="shared" si="7"/>
        <v>0</v>
      </c>
    </row>
    <row r="127" spans="1:10" x14ac:dyDescent="0.25">
      <c r="A127" s="1155">
        <v>16909503</v>
      </c>
      <c r="B127" s="1155" t="s">
        <v>1298</v>
      </c>
      <c r="C127" s="795">
        <v>13663</v>
      </c>
      <c r="E127" s="1167">
        <v>16909503</v>
      </c>
      <c r="F127" s="1167" t="s">
        <v>1298</v>
      </c>
      <c r="G127" s="1168">
        <v>13663</v>
      </c>
      <c r="H127" s="828"/>
      <c r="I127" s="634">
        <f t="shared" si="6"/>
        <v>0</v>
      </c>
      <c r="J127" s="822">
        <f t="shared" si="7"/>
        <v>0</v>
      </c>
    </row>
    <row r="128" spans="1:10" x14ac:dyDescent="0.25">
      <c r="A128" s="634">
        <v>169010</v>
      </c>
      <c r="B128" s="634" t="s">
        <v>764</v>
      </c>
      <c r="C128" s="795">
        <v>45020313</v>
      </c>
      <c r="E128" s="1167">
        <v>169010</v>
      </c>
      <c r="F128" s="1167" t="s">
        <v>764</v>
      </c>
      <c r="G128" s="1168">
        <v>45020313</v>
      </c>
      <c r="H128" s="828"/>
      <c r="I128" s="634">
        <f t="shared" si="6"/>
        <v>0</v>
      </c>
      <c r="J128" s="822">
        <f t="shared" si="7"/>
        <v>0</v>
      </c>
    </row>
    <row r="129" spans="1:10" x14ac:dyDescent="0.25">
      <c r="A129" s="634">
        <v>16901001</v>
      </c>
      <c r="B129" s="634" t="s">
        <v>765</v>
      </c>
      <c r="C129" s="795">
        <v>45020313</v>
      </c>
      <c r="E129" s="1167">
        <v>16901001</v>
      </c>
      <c r="F129" s="1167" t="s">
        <v>765</v>
      </c>
      <c r="G129" s="1168">
        <v>45020313</v>
      </c>
      <c r="H129" s="828"/>
      <c r="I129" s="634">
        <f t="shared" si="6"/>
        <v>0</v>
      </c>
      <c r="J129" s="822">
        <f t="shared" si="7"/>
        <v>0</v>
      </c>
    </row>
    <row r="130" spans="1:10" x14ac:dyDescent="0.25">
      <c r="A130" s="1155">
        <v>169020</v>
      </c>
      <c r="B130" s="1155" t="s">
        <v>1533</v>
      </c>
      <c r="C130" s="795">
        <v>134782</v>
      </c>
      <c r="E130" s="1167">
        <v>169020</v>
      </c>
      <c r="F130" s="1167" t="s">
        <v>1533</v>
      </c>
      <c r="G130" s="1168">
        <v>134782</v>
      </c>
      <c r="H130" s="828"/>
      <c r="I130" s="634">
        <f t="shared" si="6"/>
        <v>0</v>
      </c>
      <c r="J130" s="822">
        <f t="shared" si="7"/>
        <v>0</v>
      </c>
    </row>
    <row r="131" spans="1:10" x14ac:dyDescent="0.25">
      <c r="A131" s="1155">
        <v>16902001</v>
      </c>
      <c r="B131" s="1155" t="s">
        <v>1523</v>
      </c>
      <c r="C131" s="795">
        <v>134782</v>
      </c>
      <c r="E131" s="1167">
        <v>16902001</v>
      </c>
      <c r="F131" s="1167" t="s">
        <v>1523</v>
      </c>
      <c r="G131" s="1168">
        <v>134782</v>
      </c>
      <c r="H131" s="828"/>
      <c r="I131" s="634">
        <f t="shared" si="6"/>
        <v>0</v>
      </c>
      <c r="J131" s="822">
        <f t="shared" si="7"/>
        <v>0</v>
      </c>
    </row>
    <row r="132" spans="1:10" x14ac:dyDescent="0.25">
      <c r="A132" s="634">
        <v>169025</v>
      </c>
      <c r="B132" s="634" t="s">
        <v>766</v>
      </c>
      <c r="C132" s="795">
        <v>4435942</v>
      </c>
      <c r="E132" s="1167">
        <v>169025</v>
      </c>
      <c r="F132" s="1167" t="s">
        <v>766</v>
      </c>
      <c r="G132" s="1168">
        <v>4435942</v>
      </c>
      <c r="H132" s="828"/>
      <c r="I132" s="634">
        <f t="shared" si="6"/>
        <v>0</v>
      </c>
      <c r="J132" s="822">
        <f t="shared" si="7"/>
        <v>0</v>
      </c>
    </row>
    <row r="133" spans="1:10" x14ac:dyDescent="0.25">
      <c r="A133" s="634">
        <v>16902501</v>
      </c>
      <c r="B133" s="634" t="s">
        <v>767</v>
      </c>
      <c r="C133" s="795">
        <v>4435942</v>
      </c>
      <c r="E133" s="1167">
        <v>16902501</v>
      </c>
      <c r="F133" s="1167" t="s">
        <v>767</v>
      </c>
      <c r="G133" s="1168">
        <v>4435942</v>
      </c>
      <c r="H133" s="828"/>
      <c r="I133" s="634">
        <f t="shared" si="6"/>
        <v>0</v>
      </c>
      <c r="J133" s="822">
        <f t="shared" si="7"/>
        <v>0</v>
      </c>
    </row>
    <row r="134" spans="1:10" x14ac:dyDescent="0.25">
      <c r="A134" s="634">
        <v>169095</v>
      </c>
      <c r="B134" s="634" t="s">
        <v>1299</v>
      </c>
      <c r="C134" s="795">
        <v>492830853</v>
      </c>
      <c r="E134" s="1167">
        <v>169095</v>
      </c>
      <c r="F134" s="1167" t="s">
        <v>1299</v>
      </c>
      <c r="G134" s="1168">
        <v>492830853</v>
      </c>
      <c r="H134" s="828"/>
      <c r="I134" s="634">
        <f t="shared" si="6"/>
        <v>0</v>
      </c>
      <c r="J134" s="822">
        <f t="shared" si="7"/>
        <v>0</v>
      </c>
    </row>
    <row r="135" spans="1:10" x14ac:dyDescent="0.25">
      <c r="A135" s="634">
        <v>16909501</v>
      </c>
      <c r="B135" s="634" t="s">
        <v>1300</v>
      </c>
      <c r="C135" s="795">
        <v>492830853</v>
      </c>
      <c r="E135" s="1167">
        <v>16909501</v>
      </c>
      <c r="F135" s="1167" t="s">
        <v>1300</v>
      </c>
      <c r="G135" s="1168">
        <v>492830853</v>
      </c>
      <c r="H135" s="828"/>
      <c r="I135" s="634">
        <f t="shared" si="6"/>
        <v>0</v>
      </c>
      <c r="J135" s="822">
        <f t="shared" si="7"/>
        <v>0</v>
      </c>
    </row>
    <row r="136" spans="1:10" x14ac:dyDescent="0.25">
      <c r="A136" s="634">
        <v>16909502</v>
      </c>
      <c r="B136" s="634" t="s">
        <v>1301</v>
      </c>
      <c r="C136" s="795">
        <v>0</v>
      </c>
      <c r="E136" s="1167">
        <v>16909502</v>
      </c>
      <c r="F136" s="1167" t="s">
        <v>1301</v>
      </c>
      <c r="G136" s="1168">
        <v>0</v>
      </c>
      <c r="H136" s="828"/>
      <c r="I136" s="634">
        <f t="shared" si="6"/>
        <v>0</v>
      </c>
      <c r="J136" s="822">
        <f t="shared" si="7"/>
        <v>0</v>
      </c>
    </row>
    <row r="137" spans="1:10" x14ac:dyDescent="0.25">
      <c r="A137" s="634">
        <v>1696</v>
      </c>
      <c r="B137" s="634" t="s">
        <v>768</v>
      </c>
      <c r="C137" s="795">
        <v>-61049750</v>
      </c>
      <c r="E137" s="1167">
        <v>1696</v>
      </c>
      <c r="F137" s="1167" t="s">
        <v>768</v>
      </c>
      <c r="G137" s="1168">
        <v>-61049750</v>
      </c>
      <c r="H137" s="828"/>
      <c r="I137" s="634">
        <f t="shared" si="6"/>
        <v>0</v>
      </c>
      <c r="J137" s="822">
        <f t="shared" si="7"/>
        <v>0</v>
      </c>
    </row>
    <row r="138" spans="1:10" x14ac:dyDescent="0.25">
      <c r="A138" s="634">
        <v>169654</v>
      </c>
      <c r="B138" s="634" t="s">
        <v>769</v>
      </c>
      <c r="C138" s="795">
        <v>-7090765</v>
      </c>
      <c r="E138" s="1167">
        <v>169654</v>
      </c>
      <c r="F138" s="1167" t="s">
        <v>769</v>
      </c>
      <c r="G138" s="1168">
        <v>-7090765</v>
      </c>
      <c r="H138" s="828"/>
      <c r="I138" s="634">
        <f t="shared" si="6"/>
        <v>0</v>
      </c>
      <c r="J138" s="822">
        <f t="shared" si="7"/>
        <v>0</v>
      </c>
    </row>
    <row r="139" spans="1:10" x14ac:dyDescent="0.25">
      <c r="A139" s="634">
        <v>16965401</v>
      </c>
      <c r="B139" s="634" t="s">
        <v>770</v>
      </c>
      <c r="C139" s="795">
        <v>-7090765</v>
      </c>
      <c r="E139" s="1167">
        <v>16965401</v>
      </c>
      <c r="F139" s="1167" t="s">
        <v>770</v>
      </c>
      <c r="G139" s="1168">
        <v>-7090765</v>
      </c>
      <c r="H139" s="828"/>
      <c r="I139" s="634">
        <f t="shared" si="6"/>
        <v>0</v>
      </c>
      <c r="J139" s="822">
        <f t="shared" si="7"/>
        <v>0</v>
      </c>
    </row>
    <row r="140" spans="1:10" x14ac:dyDescent="0.25">
      <c r="A140" s="634">
        <v>169656</v>
      </c>
      <c r="B140" s="634" t="s">
        <v>771</v>
      </c>
      <c r="C140" s="795">
        <v>-13184575</v>
      </c>
      <c r="E140" s="1167">
        <v>169656</v>
      </c>
      <c r="F140" s="1167" t="s">
        <v>771</v>
      </c>
      <c r="G140" s="1168">
        <v>-13184575</v>
      </c>
      <c r="H140" s="828"/>
      <c r="I140" s="634">
        <f t="shared" si="6"/>
        <v>0</v>
      </c>
      <c r="J140" s="822">
        <f t="shared" si="7"/>
        <v>0</v>
      </c>
    </row>
    <row r="141" spans="1:10" x14ac:dyDescent="0.25">
      <c r="A141" s="634">
        <v>16965601</v>
      </c>
      <c r="B141" s="634" t="s">
        <v>772</v>
      </c>
      <c r="C141" s="795">
        <v>-13184575</v>
      </c>
      <c r="E141" s="1167">
        <v>16965601</v>
      </c>
      <c r="F141" s="1167" t="s">
        <v>772</v>
      </c>
      <c r="G141" s="1168">
        <v>-13184575</v>
      </c>
      <c r="H141" s="828"/>
      <c r="I141" s="634">
        <f t="shared" si="6"/>
        <v>0</v>
      </c>
      <c r="J141" s="822">
        <f t="shared" si="7"/>
        <v>0</v>
      </c>
    </row>
    <row r="142" spans="1:10" x14ac:dyDescent="0.25">
      <c r="A142" s="634">
        <v>169657</v>
      </c>
      <c r="B142" s="634" t="s">
        <v>773</v>
      </c>
      <c r="C142" s="795">
        <v>-40774410</v>
      </c>
      <c r="E142" s="1167">
        <v>169657</v>
      </c>
      <c r="F142" s="1167" t="s">
        <v>773</v>
      </c>
      <c r="G142" s="1168">
        <v>-40774410</v>
      </c>
      <c r="H142" s="828"/>
      <c r="I142" s="634">
        <f t="shared" si="6"/>
        <v>0</v>
      </c>
      <c r="J142" s="822">
        <f t="shared" si="7"/>
        <v>0</v>
      </c>
    </row>
    <row r="143" spans="1:10" x14ac:dyDescent="0.25">
      <c r="A143" s="634">
        <v>16965701</v>
      </c>
      <c r="B143" s="634" t="s">
        <v>774</v>
      </c>
      <c r="C143" s="795">
        <v>-40774410</v>
      </c>
      <c r="E143" s="1167">
        <v>16965701</v>
      </c>
      <c r="F143" s="1167" t="s">
        <v>774</v>
      </c>
      <c r="G143" s="1168">
        <v>-40774410</v>
      </c>
      <c r="H143" s="828"/>
      <c r="I143" s="634">
        <f t="shared" si="6"/>
        <v>0</v>
      </c>
      <c r="J143" s="822">
        <f t="shared" si="7"/>
        <v>0</v>
      </c>
    </row>
    <row r="144" spans="1:10" x14ac:dyDescent="0.25">
      <c r="A144" s="1081">
        <v>17</v>
      </c>
      <c r="B144" s="1081" t="s">
        <v>775</v>
      </c>
      <c r="C144" s="1082">
        <v>663998811.45000005</v>
      </c>
      <c r="E144" s="1167">
        <v>17</v>
      </c>
      <c r="F144" s="1167" t="s">
        <v>775</v>
      </c>
      <c r="G144" s="1168">
        <v>663998811.45000005</v>
      </c>
      <c r="H144" s="828"/>
      <c r="I144" s="634">
        <f t="shared" si="6"/>
        <v>0</v>
      </c>
      <c r="J144" s="822">
        <f t="shared" si="7"/>
        <v>0</v>
      </c>
    </row>
    <row r="145" spans="1:10" x14ac:dyDescent="0.25">
      <c r="A145" s="634">
        <v>1715</v>
      </c>
      <c r="B145" s="634" t="s">
        <v>776</v>
      </c>
      <c r="C145" s="795">
        <v>923802225</v>
      </c>
      <c r="E145" s="1167">
        <v>1715</v>
      </c>
      <c r="F145" s="1167" t="s">
        <v>776</v>
      </c>
      <c r="G145" s="1168">
        <v>923802225</v>
      </c>
      <c r="H145" s="828"/>
      <c r="I145" s="634">
        <f t="shared" si="6"/>
        <v>0</v>
      </c>
      <c r="J145" s="822">
        <f t="shared" si="7"/>
        <v>0</v>
      </c>
    </row>
    <row r="146" spans="1:10" x14ac:dyDescent="0.25">
      <c r="A146" s="634">
        <v>171505</v>
      </c>
      <c r="B146" s="634" t="s">
        <v>777</v>
      </c>
      <c r="C146" s="795">
        <v>923802225</v>
      </c>
      <c r="E146" s="1167">
        <v>171505</v>
      </c>
      <c r="F146" s="1167" t="s">
        <v>777</v>
      </c>
      <c r="G146" s="1168">
        <v>923802225</v>
      </c>
      <c r="H146" s="828"/>
      <c r="I146" s="634">
        <f t="shared" si="6"/>
        <v>0</v>
      </c>
      <c r="J146" s="822">
        <f t="shared" si="7"/>
        <v>0</v>
      </c>
    </row>
    <row r="147" spans="1:10" x14ac:dyDescent="0.25">
      <c r="A147" s="634">
        <v>17150502</v>
      </c>
      <c r="B147" s="634" t="s">
        <v>778</v>
      </c>
      <c r="C147" s="795">
        <v>923802225</v>
      </c>
      <c r="E147" s="1167">
        <v>17150502</v>
      </c>
      <c r="F147" s="1167" t="s">
        <v>778</v>
      </c>
      <c r="G147" s="1168">
        <v>923802225</v>
      </c>
      <c r="H147" s="828"/>
      <c r="I147" s="634">
        <f t="shared" si="6"/>
        <v>0</v>
      </c>
      <c r="J147" s="822">
        <f t="shared" si="7"/>
        <v>0</v>
      </c>
    </row>
    <row r="148" spans="1:10" x14ac:dyDescent="0.25">
      <c r="A148" s="634">
        <v>1720</v>
      </c>
      <c r="B148" s="634" t="s">
        <v>779</v>
      </c>
      <c r="C148" s="795">
        <v>85856472</v>
      </c>
      <c r="E148" s="1167">
        <v>1720</v>
      </c>
      <c r="F148" s="1167" t="s">
        <v>779</v>
      </c>
      <c r="G148" s="1168">
        <v>85856472</v>
      </c>
      <c r="H148" s="828"/>
      <c r="I148" s="634">
        <f t="shared" si="6"/>
        <v>0</v>
      </c>
      <c r="J148" s="822">
        <f t="shared" si="7"/>
        <v>0</v>
      </c>
    </row>
    <row r="149" spans="1:10" x14ac:dyDescent="0.25">
      <c r="A149" s="634">
        <v>172010</v>
      </c>
      <c r="B149" s="634" t="s">
        <v>780</v>
      </c>
      <c r="C149" s="795">
        <v>39938926</v>
      </c>
      <c r="E149" s="1167">
        <v>172010</v>
      </c>
      <c r="F149" s="1167" t="s">
        <v>780</v>
      </c>
      <c r="G149" s="1168">
        <v>39938926</v>
      </c>
      <c r="H149" s="828"/>
      <c r="I149" s="634">
        <f t="shared" si="6"/>
        <v>0</v>
      </c>
      <c r="J149" s="822">
        <f t="shared" si="7"/>
        <v>0</v>
      </c>
    </row>
    <row r="150" spans="1:10" x14ac:dyDescent="0.25">
      <c r="A150" s="634">
        <v>17201002</v>
      </c>
      <c r="B150" s="634" t="s">
        <v>781</v>
      </c>
      <c r="C150" s="795">
        <v>39938926</v>
      </c>
      <c r="E150" s="1167">
        <v>17201002</v>
      </c>
      <c r="F150" s="1167" t="s">
        <v>781</v>
      </c>
      <c r="G150" s="1168">
        <v>39938926</v>
      </c>
      <c r="H150" s="828"/>
      <c r="I150" s="634">
        <f t="shared" si="6"/>
        <v>0</v>
      </c>
      <c r="J150" s="822">
        <f t="shared" si="7"/>
        <v>0</v>
      </c>
    </row>
    <row r="151" spans="1:10" x14ac:dyDescent="0.25">
      <c r="A151" s="634">
        <v>172015</v>
      </c>
      <c r="B151" s="634" t="s">
        <v>782</v>
      </c>
      <c r="C151" s="795">
        <v>45917546</v>
      </c>
      <c r="E151" s="1167">
        <v>172015</v>
      </c>
      <c r="F151" s="1167" t="s">
        <v>782</v>
      </c>
      <c r="G151" s="1168">
        <v>45917546</v>
      </c>
      <c r="H151" s="828"/>
      <c r="I151" s="634">
        <f t="shared" si="6"/>
        <v>0</v>
      </c>
      <c r="J151" s="822">
        <f t="shared" si="7"/>
        <v>0</v>
      </c>
    </row>
    <row r="152" spans="1:10" x14ac:dyDescent="0.25">
      <c r="A152" s="634">
        <v>17201502</v>
      </c>
      <c r="B152" s="634" t="s">
        <v>783</v>
      </c>
      <c r="C152" s="795">
        <v>45917546</v>
      </c>
      <c r="E152" s="1167">
        <v>17201502</v>
      </c>
      <c r="F152" s="1167" t="s">
        <v>783</v>
      </c>
      <c r="G152" s="1168">
        <v>45917546</v>
      </c>
      <c r="H152" s="828"/>
      <c r="I152" s="634">
        <f t="shared" si="6"/>
        <v>0</v>
      </c>
      <c r="J152" s="822">
        <f t="shared" si="7"/>
        <v>0</v>
      </c>
    </row>
    <row r="153" spans="1:10" x14ac:dyDescent="0.25">
      <c r="A153" s="634">
        <v>1725</v>
      </c>
      <c r="B153" s="634" t="s">
        <v>784</v>
      </c>
      <c r="C153" s="795">
        <v>149532455.44999999</v>
      </c>
      <c r="E153" s="1167">
        <v>1725</v>
      </c>
      <c r="F153" s="1167" t="s">
        <v>784</v>
      </c>
      <c r="G153" s="1168">
        <v>149532455.44999999</v>
      </c>
      <c r="H153" s="828"/>
      <c r="I153" s="634">
        <f t="shared" si="6"/>
        <v>0</v>
      </c>
      <c r="J153" s="822">
        <f t="shared" si="7"/>
        <v>0</v>
      </c>
    </row>
    <row r="154" spans="1:10" x14ac:dyDescent="0.25">
      <c r="A154" s="634">
        <v>172505</v>
      </c>
      <c r="B154" s="634" t="s">
        <v>785</v>
      </c>
      <c r="C154" s="795">
        <v>120279129.45</v>
      </c>
      <c r="E154" s="1167">
        <v>172505</v>
      </c>
      <c r="F154" s="1167" t="s">
        <v>785</v>
      </c>
      <c r="G154" s="1168">
        <v>120279129.45</v>
      </c>
      <c r="H154" s="828"/>
      <c r="I154" s="634">
        <f t="shared" si="6"/>
        <v>0</v>
      </c>
      <c r="J154" s="822">
        <f t="shared" si="7"/>
        <v>0</v>
      </c>
    </row>
    <row r="155" spans="1:10" x14ac:dyDescent="0.25">
      <c r="A155" s="634">
        <v>17250502</v>
      </c>
      <c r="B155" s="634" t="s">
        <v>786</v>
      </c>
      <c r="C155" s="795">
        <v>120279129.45</v>
      </c>
      <c r="E155" s="1167">
        <v>17250502</v>
      </c>
      <c r="F155" s="1167" t="s">
        <v>786</v>
      </c>
      <c r="G155" s="1168">
        <v>120279129.45</v>
      </c>
      <c r="H155" s="828"/>
      <c r="I155" s="634">
        <f t="shared" ref="I155:I170" si="8">+A155-E155</f>
        <v>0</v>
      </c>
      <c r="J155" s="822">
        <f t="shared" ref="J155:J170" si="9">+C155-G155</f>
        <v>0</v>
      </c>
    </row>
    <row r="156" spans="1:10" x14ac:dyDescent="0.25">
      <c r="A156" s="634">
        <v>172510</v>
      </c>
      <c r="B156" s="634" t="s">
        <v>787</v>
      </c>
      <c r="C156" s="795">
        <v>29253326</v>
      </c>
      <c r="E156" s="1167">
        <v>172510</v>
      </c>
      <c r="F156" s="1167" t="s">
        <v>787</v>
      </c>
      <c r="G156" s="1168">
        <v>29253326</v>
      </c>
      <c r="H156" s="828"/>
      <c r="I156" s="634">
        <f t="shared" si="8"/>
        <v>0</v>
      </c>
      <c r="J156" s="822">
        <f t="shared" si="9"/>
        <v>0</v>
      </c>
    </row>
    <row r="157" spans="1:10" x14ac:dyDescent="0.25">
      <c r="A157" s="634">
        <v>17251001</v>
      </c>
      <c r="B157" s="634" t="s">
        <v>788</v>
      </c>
      <c r="C157" s="795">
        <v>29253326</v>
      </c>
      <c r="E157" s="1167">
        <v>17251001</v>
      </c>
      <c r="F157" s="1167" t="s">
        <v>788</v>
      </c>
      <c r="G157" s="1168">
        <v>29253326</v>
      </c>
      <c r="H157" s="828"/>
      <c r="I157" s="634">
        <f t="shared" si="8"/>
        <v>0</v>
      </c>
      <c r="J157" s="822">
        <f t="shared" si="9"/>
        <v>0</v>
      </c>
    </row>
    <row r="158" spans="1:10" x14ac:dyDescent="0.25">
      <c r="A158" s="634">
        <v>1795</v>
      </c>
      <c r="B158" s="634" t="s">
        <v>789</v>
      </c>
      <c r="C158" s="795">
        <v>-495192341</v>
      </c>
      <c r="E158" s="1167">
        <v>1795</v>
      </c>
      <c r="F158" s="1167" t="s">
        <v>789</v>
      </c>
      <c r="G158" s="1168">
        <v>-495192341</v>
      </c>
      <c r="H158" s="828"/>
      <c r="I158" s="634">
        <f t="shared" si="8"/>
        <v>0</v>
      </c>
      <c r="J158" s="822">
        <f t="shared" si="9"/>
        <v>0</v>
      </c>
    </row>
    <row r="159" spans="1:10" x14ac:dyDescent="0.25">
      <c r="A159" s="634">
        <v>179505</v>
      </c>
      <c r="B159" s="634" t="s">
        <v>776</v>
      </c>
      <c r="C159" s="795">
        <v>-411817453</v>
      </c>
      <c r="E159" s="1167">
        <v>179505</v>
      </c>
      <c r="F159" s="1167" t="s">
        <v>776</v>
      </c>
      <c r="G159" s="1168">
        <v>-411817453</v>
      </c>
      <c r="H159" s="828"/>
      <c r="I159" s="634">
        <f t="shared" si="8"/>
        <v>0</v>
      </c>
      <c r="J159" s="822">
        <f t="shared" si="9"/>
        <v>0</v>
      </c>
    </row>
    <row r="160" spans="1:10" x14ac:dyDescent="0.25">
      <c r="A160" s="634">
        <v>17950502</v>
      </c>
      <c r="B160" s="634" t="s">
        <v>790</v>
      </c>
      <c r="C160" s="795">
        <v>-411817453</v>
      </c>
      <c r="E160" s="1167">
        <v>17950502</v>
      </c>
      <c r="F160" s="1167" t="s">
        <v>790</v>
      </c>
      <c r="G160" s="1168">
        <v>-411817453</v>
      </c>
      <c r="H160" s="828"/>
      <c r="I160" s="634">
        <f t="shared" si="8"/>
        <v>0</v>
      </c>
      <c r="J160" s="822">
        <f t="shared" si="9"/>
        <v>0</v>
      </c>
    </row>
    <row r="161" spans="1:10" x14ac:dyDescent="0.25">
      <c r="A161" s="634">
        <v>179510</v>
      </c>
      <c r="B161" s="634" t="s">
        <v>779</v>
      </c>
      <c r="C161" s="795">
        <v>-28080396</v>
      </c>
      <c r="E161" s="1167">
        <v>179510</v>
      </c>
      <c r="F161" s="1167" t="s">
        <v>779</v>
      </c>
      <c r="G161" s="1168">
        <v>-28080396</v>
      </c>
      <c r="H161" s="828"/>
      <c r="I161" s="634">
        <f t="shared" si="8"/>
        <v>0</v>
      </c>
      <c r="J161" s="822">
        <f t="shared" si="9"/>
        <v>0</v>
      </c>
    </row>
    <row r="162" spans="1:10" x14ac:dyDescent="0.25">
      <c r="A162" s="634">
        <v>17951002</v>
      </c>
      <c r="B162" s="634" t="s">
        <v>791</v>
      </c>
      <c r="C162" s="795">
        <v>-28080396</v>
      </c>
      <c r="E162" s="1167">
        <v>17951002</v>
      </c>
      <c r="F162" s="1167" t="s">
        <v>791</v>
      </c>
      <c r="G162" s="1168">
        <v>-28080396</v>
      </c>
      <c r="H162" s="828"/>
      <c r="I162" s="634">
        <f t="shared" si="8"/>
        <v>0</v>
      </c>
      <c r="J162" s="822">
        <f t="shared" si="9"/>
        <v>0</v>
      </c>
    </row>
    <row r="163" spans="1:10" x14ac:dyDescent="0.25">
      <c r="A163" s="634">
        <v>179520</v>
      </c>
      <c r="B163" s="634" t="s">
        <v>792</v>
      </c>
      <c r="C163" s="795">
        <v>-55294492</v>
      </c>
      <c r="E163" s="1167">
        <v>179520</v>
      </c>
      <c r="F163" s="1167" t="s">
        <v>792</v>
      </c>
      <c r="G163" s="1168">
        <v>-55294492</v>
      </c>
      <c r="H163" s="828"/>
      <c r="I163" s="634">
        <f t="shared" si="8"/>
        <v>0</v>
      </c>
      <c r="J163" s="822">
        <f t="shared" si="9"/>
        <v>0</v>
      </c>
    </row>
    <row r="164" spans="1:10" x14ac:dyDescent="0.25">
      <c r="A164" s="634">
        <v>17952002</v>
      </c>
      <c r="B164" s="634" t="s">
        <v>793</v>
      </c>
      <c r="C164" s="795">
        <v>-55294492</v>
      </c>
      <c r="E164" s="1167">
        <v>17952002</v>
      </c>
      <c r="F164" s="1167" t="s">
        <v>793</v>
      </c>
      <c r="G164" s="1168">
        <v>-55294492</v>
      </c>
      <c r="H164" s="828"/>
      <c r="I164" s="634">
        <f t="shared" si="8"/>
        <v>0</v>
      </c>
      <c r="J164" s="822">
        <f t="shared" si="9"/>
        <v>0</v>
      </c>
    </row>
    <row r="165" spans="1:10" x14ac:dyDescent="0.25">
      <c r="A165" s="1080">
        <v>18</v>
      </c>
      <c r="B165" s="1080" t="s">
        <v>118</v>
      </c>
      <c r="C165" s="795">
        <v>14280000</v>
      </c>
      <c r="E165" s="1167">
        <v>18</v>
      </c>
      <c r="F165" s="1167" t="s">
        <v>118</v>
      </c>
      <c r="G165" s="1168">
        <v>14280000</v>
      </c>
      <c r="H165" s="828"/>
      <c r="I165" s="634">
        <f t="shared" si="8"/>
        <v>0</v>
      </c>
      <c r="J165" s="822">
        <f t="shared" si="9"/>
        <v>0</v>
      </c>
    </row>
    <row r="166" spans="1:10" x14ac:dyDescent="0.25">
      <c r="A166" s="1079">
        <v>1810</v>
      </c>
      <c r="B166" s="1079" t="s">
        <v>117</v>
      </c>
      <c r="C166" s="795">
        <v>14280000</v>
      </c>
      <c r="E166" s="1167">
        <v>1810</v>
      </c>
      <c r="F166" s="1167" t="s">
        <v>117</v>
      </c>
      <c r="G166" s="1168">
        <v>14280000</v>
      </c>
      <c r="H166" s="828"/>
      <c r="I166" s="634">
        <f t="shared" si="8"/>
        <v>0</v>
      </c>
      <c r="J166" s="822">
        <f t="shared" si="9"/>
        <v>0</v>
      </c>
    </row>
    <row r="167" spans="1:10" x14ac:dyDescent="0.25">
      <c r="A167" s="1079">
        <v>181035</v>
      </c>
      <c r="B167" s="1079" t="s">
        <v>794</v>
      </c>
      <c r="C167" s="795">
        <v>14280000</v>
      </c>
      <c r="E167" s="1167">
        <v>181035</v>
      </c>
      <c r="F167" s="1167" t="s">
        <v>794</v>
      </c>
      <c r="G167" s="1168">
        <v>14280000</v>
      </c>
      <c r="H167" s="828"/>
      <c r="I167" s="634">
        <f t="shared" si="8"/>
        <v>0</v>
      </c>
      <c r="J167" s="822">
        <f t="shared" si="9"/>
        <v>0</v>
      </c>
    </row>
    <row r="168" spans="1:10" x14ac:dyDescent="0.25">
      <c r="A168" s="1079">
        <v>18103501</v>
      </c>
      <c r="B168" s="1079" t="s">
        <v>1441</v>
      </c>
      <c r="C168" s="795">
        <v>14280000</v>
      </c>
      <c r="E168" s="1167">
        <v>18103501</v>
      </c>
      <c r="F168" s="1167" t="s">
        <v>1441</v>
      </c>
      <c r="G168" s="1168">
        <v>14280000</v>
      </c>
      <c r="H168" s="828"/>
      <c r="I168" s="634">
        <f t="shared" si="8"/>
        <v>0</v>
      </c>
      <c r="J168" s="822">
        <f t="shared" si="9"/>
        <v>0</v>
      </c>
    </row>
    <row r="169" spans="1:10" x14ac:dyDescent="0.25">
      <c r="A169" s="1081">
        <v>19</v>
      </c>
      <c r="B169" s="1081" t="s">
        <v>119</v>
      </c>
      <c r="C169" s="1082">
        <v>94042537.319999993</v>
      </c>
      <c r="E169" s="1167">
        <v>19</v>
      </c>
      <c r="F169" s="1167" t="s">
        <v>119</v>
      </c>
      <c r="G169" s="1168">
        <v>94042537.319999993</v>
      </c>
      <c r="H169" s="828"/>
      <c r="I169" s="634">
        <f t="shared" si="8"/>
        <v>0</v>
      </c>
      <c r="J169" s="822">
        <f t="shared" si="9"/>
        <v>0</v>
      </c>
    </row>
    <row r="170" spans="1:10" x14ac:dyDescent="0.25">
      <c r="A170" s="634">
        <v>1910</v>
      </c>
      <c r="B170" s="634" t="s">
        <v>34</v>
      </c>
      <c r="C170" s="795">
        <v>57045384.32</v>
      </c>
      <c r="E170" s="1167">
        <v>1910</v>
      </c>
      <c r="F170" s="1167" t="s">
        <v>34</v>
      </c>
      <c r="G170" s="1168">
        <v>57045384.32</v>
      </c>
      <c r="H170" s="828"/>
      <c r="I170" s="634">
        <f t="shared" si="8"/>
        <v>0</v>
      </c>
      <c r="J170" s="822">
        <f t="shared" si="9"/>
        <v>0</v>
      </c>
    </row>
    <row r="171" spans="1:10" x14ac:dyDescent="0.25">
      <c r="A171" s="634">
        <v>191025</v>
      </c>
      <c r="B171" s="634" t="s">
        <v>795</v>
      </c>
      <c r="C171" s="795">
        <v>57045384.32</v>
      </c>
      <c r="D171" s="822"/>
      <c r="E171" s="1167">
        <v>191025</v>
      </c>
      <c r="F171" s="1167" t="s">
        <v>795</v>
      </c>
      <c r="G171" s="1168">
        <v>57045384.32</v>
      </c>
      <c r="H171" s="828"/>
      <c r="I171" s="634">
        <f t="shared" ref="I171:I231" si="10">+A171-E171</f>
        <v>0</v>
      </c>
      <c r="J171" s="822">
        <f t="shared" ref="J171:J231" si="11">+C171-G171</f>
        <v>0</v>
      </c>
    </row>
    <row r="172" spans="1:10" x14ac:dyDescent="0.25">
      <c r="A172" s="634">
        <v>19102501</v>
      </c>
      <c r="B172" s="634" t="s">
        <v>796</v>
      </c>
      <c r="C172" s="795">
        <v>50532157.32</v>
      </c>
      <c r="E172" s="1167">
        <v>19102501</v>
      </c>
      <c r="F172" s="1167" t="s">
        <v>796</v>
      </c>
      <c r="G172" s="1168">
        <v>50532157.32</v>
      </c>
      <c r="H172" s="828"/>
      <c r="I172" s="634">
        <f t="shared" si="10"/>
        <v>0</v>
      </c>
      <c r="J172" s="822">
        <f t="shared" si="11"/>
        <v>0</v>
      </c>
    </row>
    <row r="173" spans="1:10" x14ac:dyDescent="0.25">
      <c r="A173" s="1155">
        <v>19102515</v>
      </c>
      <c r="B173" s="1155" t="s">
        <v>1442</v>
      </c>
      <c r="C173" s="795">
        <v>6513227</v>
      </c>
      <c r="D173" s="634">
        <v>1257569</v>
      </c>
      <c r="E173" s="1167">
        <v>19102515</v>
      </c>
      <c r="F173" s="1167" t="s">
        <v>1442</v>
      </c>
      <c r="G173" s="795">
        <v>6513227</v>
      </c>
      <c r="H173" s="828"/>
      <c r="I173" s="634">
        <f t="shared" si="10"/>
        <v>0</v>
      </c>
      <c r="J173" s="822">
        <f t="shared" si="11"/>
        <v>0</v>
      </c>
    </row>
    <row r="174" spans="1:10" x14ac:dyDescent="0.25">
      <c r="A174" s="634">
        <v>1987</v>
      </c>
      <c r="B174" s="634" t="s">
        <v>176</v>
      </c>
      <c r="C174" s="1119">
        <v>36997153</v>
      </c>
      <c r="E174" s="1167">
        <v>1987</v>
      </c>
      <c r="F174" s="1167" t="s">
        <v>176</v>
      </c>
      <c r="G174" s="1168">
        <v>36997153</v>
      </c>
      <c r="H174" s="828"/>
      <c r="I174" s="634">
        <f t="shared" si="10"/>
        <v>0</v>
      </c>
      <c r="J174" s="822">
        <f t="shared" si="11"/>
        <v>0</v>
      </c>
    </row>
    <row r="175" spans="1:10" x14ac:dyDescent="0.25">
      <c r="A175" s="821">
        <v>198795</v>
      </c>
      <c r="B175" s="819" t="s">
        <v>763</v>
      </c>
      <c r="C175" s="795">
        <v>36997153</v>
      </c>
      <c r="E175" s="1167">
        <v>198795</v>
      </c>
      <c r="F175" s="1167" t="s">
        <v>763</v>
      </c>
      <c r="G175" s="1168">
        <v>36997153</v>
      </c>
      <c r="H175" s="828"/>
      <c r="I175" s="634">
        <f t="shared" si="10"/>
        <v>0</v>
      </c>
      <c r="J175" s="822">
        <f t="shared" si="11"/>
        <v>0</v>
      </c>
    </row>
    <row r="176" spans="1:10" x14ac:dyDescent="0.25">
      <c r="A176" s="821">
        <v>19879501</v>
      </c>
      <c r="B176" s="819" t="s">
        <v>1345</v>
      </c>
      <c r="C176" s="795">
        <v>36997153</v>
      </c>
      <c r="E176" s="1167">
        <v>19879501</v>
      </c>
      <c r="F176" s="1167" t="s">
        <v>1345</v>
      </c>
      <c r="G176" s="1168">
        <v>36997153</v>
      </c>
      <c r="H176" s="828"/>
      <c r="I176" s="634">
        <f t="shared" si="10"/>
        <v>0</v>
      </c>
      <c r="J176" s="822">
        <f t="shared" si="11"/>
        <v>0</v>
      </c>
    </row>
    <row r="177" spans="1:10" x14ac:dyDescent="0.25">
      <c r="A177" s="634">
        <v>2</v>
      </c>
      <c r="B177" s="634" t="s">
        <v>797</v>
      </c>
      <c r="C177" s="795">
        <v>38746802604.769997</v>
      </c>
      <c r="E177" s="1167">
        <v>2</v>
      </c>
      <c r="F177" s="1167" t="s">
        <v>797</v>
      </c>
      <c r="G177" s="1168">
        <v>38746802604.769997</v>
      </c>
      <c r="H177" s="828"/>
      <c r="I177" s="634">
        <f t="shared" si="10"/>
        <v>0</v>
      </c>
      <c r="J177" s="822">
        <f t="shared" si="11"/>
        <v>0</v>
      </c>
    </row>
    <row r="178" spans="1:10" x14ac:dyDescent="0.25">
      <c r="A178" s="634">
        <v>21</v>
      </c>
      <c r="B178" s="634" t="s">
        <v>798</v>
      </c>
      <c r="C178" s="795">
        <v>34731528315.580002</v>
      </c>
      <c r="E178" s="1167">
        <v>21</v>
      </c>
      <c r="F178" s="1167" t="s">
        <v>798</v>
      </c>
      <c r="G178" s="1168">
        <v>34731528315.580002</v>
      </c>
      <c r="H178" s="828"/>
      <c r="I178" s="634">
        <f t="shared" si="10"/>
        <v>0</v>
      </c>
      <c r="J178" s="822">
        <f t="shared" si="11"/>
        <v>0</v>
      </c>
    </row>
    <row r="179" spans="1:10" x14ac:dyDescent="0.25">
      <c r="A179" s="634">
        <v>2105</v>
      </c>
      <c r="B179" s="634" t="s">
        <v>1302</v>
      </c>
      <c r="C179" s="795">
        <v>353652316</v>
      </c>
      <c r="E179" s="1167">
        <v>2105</v>
      </c>
      <c r="F179" s="1167" t="s">
        <v>1302</v>
      </c>
      <c r="G179" s="1168">
        <v>353652316</v>
      </c>
      <c r="H179" s="828"/>
      <c r="I179" s="634">
        <f t="shared" si="10"/>
        <v>0</v>
      </c>
      <c r="J179" s="822">
        <f t="shared" si="11"/>
        <v>0</v>
      </c>
    </row>
    <row r="180" spans="1:10" x14ac:dyDescent="0.25">
      <c r="A180" s="634">
        <v>210505</v>
      </c>
      <c r="B180" s="634" t="s">
        <v>1303</v>
      </c>
      <c r="C180" s="795">
        <v>353652316</v>
      </c>
      <c r="E180" s="1167">
        <v>210505</v>
      </c>
      <c r="F180" s="1167" t="s">
        <v>1303</v>
      </c>
      <c r="G180" s="1168">
        <v>353652316</v>
      </c>
      <c r="H180" s="828"/>
      <c r="I180" s="634">
        <f t="shared" si="10"/>
        <v>0</v>
      </c>
      <c r="J180" s="822">
        <f t="shared" si="11"/>
        <v>0</v>
      </c>
    </row>
    <row r="181" spans="1:10" x14ac:dyDescent="0.25">
      <c r="A181" s="634">
        <v>21050501</v>
      </c>
      <c r="B181" s="634" t="s">
        <v>1304</v>
      </c>
      <c r="C181" s="795">
        <v>353652316</v>
      </c>
      <c r="E181" s="1167">
        <v>21050501</v>
      </c>
      <c r="F181" s="1167" t="s">
        <v>1304</v>
      </c>
      <c r="G181" s="1168">
        <v>353652316</v>
      </c>
      <c r="H181" s="828"/>
      <c r="I181" s="634">
        <f t="shared" si="10"/>
        <v>0</v>
      </c>
      <c r="J181" s="822">
        <f t="shared" si="11"/>
        <v>0</v>
      </c>
    </row>
    <row r="182" spans="1:10" x14ac:dyDescent="0.25">
      <c r="A182" s="634">
        <v>2110</v>
      </c>
      <c r="B182" s="634" t="s">
        <v>799</v>
      </c>
      <c r="C182" s="795">
        <v>14159456137</v>
      </c>
      <c r="E182" s="1167">
        <v>2110</v>
      </c>
      <c r="F182" s="1167" t="s">
        <v>799</v>
      </c>
      <c r="G182" s="1168">
        <v>14159456137</v>
      </c>
      <c r="H182" s="828"/>
      <c r="I182" s="634">
        <f t="shared" si="10"/>
        <v>0</v>
      </c>
      <c r="J182" s="822">
        <f t="shared" si="11"/>
        <v>0</v>
      </c>
    </row>
    <row r="183" spans="1:10" x14ac:dyDescent="0.25">
      <c r="A183" s="1080">
        <v>211005</v>
      </c>
      <c r="B183" s="1080" t="s">
        <v>1443</v>
      </c>
      <c r="C183" s="795">
        <v>2578174812</v>
      </c>
      <c r="E183" s="1167">
        <v>211005</v>
      </c>
      <c r="F183" s="1167" t="s">
        <v>1443</v>
      </c>
      <c r="G183" s="1168">
        <v>2578174812</v>
      </c>
      <c r="H183" s="828"/>
      <c r="I183" s="634">
        <f t="shared" si="10"/>
        <v>0</v>
      </c>
      <c r="J183" s="822">
        <f t="shared" si="11"/>
        <v>0</v>
      </c>
    </row>
    <row r="184" spans="1:10" x14ac:dyDescent="0.25">
      <c r="A184" s="1079">
        <v>21100501</v>
      </c>
      <c r="B184" s="1079" t="s">
        <v>1444</v>
      </c>
      <c r="C184" s="795">
        <v>2578174812</v>
      </c>
      <c r="E184" s="1167">
        <v>21100501</v>
      </c>
      <c r="F184" s="1167" t="s">
        <v>1444</v>
      </c>
      <c r="G184" s="1168">
        <v>2578174812</v>
      </c>
      <c r="H184" s="828"/>
      <c r="I184" s="634">
        <f t="shared" si="10"/>
        <v>0</v>
      </c>
      <c r="J184" s="822">
        <f t="shared" si="11"/>
        <v>0</v>
      </c>
    </row>
    <row r="185" spans="1:10" x14ac:dyDescent="0.25">
      <c r="A185" s="634">
        <v>211010</v>
      </c>
      <c r="B185" s="634" t="s">
        <v>800</v>
      </c>
      <c r="C185" s="795">
        <v>3227866203</v>
      </c>
      <c r="E185" s="1167">
        <v>211010</v>
      </c>
      <c r="F185" s="1167" t="s">
        <v>800</v>
      </c>
      <c r="G185" s="1168">
        <v>3227866203</v>
      </c>
      <c r="H185" s="828"/>
      <c r="I185" s="634">
        <f t="shared" si="10"/>
        <v>0</v>
      </c>
      <c r="J185" s="822">
        <f t="shared" si="11"/>
        <v>0</v>
      </c>
    </row>
    <row r="186" spans="1:10" x14ac:dyDescent="0.25">
      <c r="A186" s="634">
        <v>21101001</v>
      </c>
      <c r="B186" s="634" t="s">
        <v>801</v>
      </c>
      <c r="C186" s="795">
        <v>3227866203</v>
      </c>
      <c r="E186" s="1167">
        <v>21101001</v>
      </c>
      <c r="F186" s="1167" t="s">
        <v>801</v>
      </c>
      <c r="G186" s="1168">
        <v>3227866203</v>
      </c>
      <c r="H186" s="828"/>
      <c r="I186" s="634">
        <f t="shared" si="10"/>
        <v>0</v>
      </c>
      <c r="J186" s="822">
        <f t="shared" si="11"/>
        <v>0</v>
      </c>
    </row>
    <row r="187" spans="1:10" x14ac:dyDescent="0.25">
      <c r="A187" s="634">
        <v>211015</v>
      </c>
      <c r="B187" s="634" t="s">
        <v>802</v>
      </c>
      <c r="C187" s="795">
        <v>8169739941</v>
      </c>
      <c r="E187" s="1167">
        <v>211015</v>
      </c>
      <c r="F187" s="1167" t="s">
        <v>802</v>
      </c>
      <c r="G187" s="1168">
        <v>8169739941</v>
      </c>
      <c r="H187" s="828"/>
      <c r="I187" s="634">
        <f t="shared" si="10"/>
        <v>0</v>
      </c>
      <c r="J187" s="822">
        <f t="shared" si="11"/>
        <v>0</v>
      </c>
    </row>
    <row r="188" spans="1:10" x14ac:dyDescent="0.25">
      <c r="A188" s="634">
        <v>21101501</v>
      </c>
      <c r="B188" s="634" t="s">
        <v>803</v>
      </c>
      <c r="C188" s="795">
        <v>8169739941</v>
      </c>
      <c r="E188" s="1167">
        <v>21101501</v>
      </c>
      <c r="F188" s="1167" t="s">
        <v>803</v>
      </c>
      <c r="G188" s="1168">
        <v>8169739941</v>
      </c>
      <c r="H188" s="828"/>
      <c r="I188" s="634">
        <f t="shared" si="10"/>
        <v>0</v>
      </c>
      <c r="J188" s="822">
        <f t="shared" si="11"/>
        <v>0</v>
      </c>
    </row>
    <row r="189" spans="1:10" x14ac:dyDescent="0.25">
      <c r="A189" s="994">
        <v>211020</v>
      </c>
      <c r="B189" s="994" t="s">
        <v>1382</v>
      </c>
      <c r="C189" s="795">
        <v>183675181</v>
      </c>
      <c r="E189" s="1167">
        <v>211020</v>
      </c>
      <c r="F189" s="1167" t="s">
        <v>1382</v>
      </c>
      <c r="G189" s="1168">
        <v>183675181</v>
      </c>
      <c r="H189" s="828"/>
      <c r="I189" s="634">
        <f t="shared" si="10"/>
        <v>0</v>
      </c>
      <c r="J189" s="822">
        <f t="shared" si="11"/>
        <v>0</v>
      </c>
    </row>
    <row r="190" spans="1:10" x14ac:dyDescent="0.25">
      <c r="A190" s="994">
        <v>21102001</v>
      </c>
      <c r="B190" s="994" t="s">
        <v>1383</v>
      </c>
      <c r="C190" s="795">
        <v>183675181</v>
      </c>
      <c r="E190" s="1167">
        <v>21102001</v>
      </c>
      <c r="F190" s="1167" t="s">
        <v>1383</v>
      </c>
      <c r="G190" s="1168">
        <v>183675181</v>
      </c>
      <c r="H190" s="828"/>
      <c r="I190" s="634">
        <f t="shared" si="10"/>
        <v>0</v>
      </c>
      <c r="J190" s="822">
        <f t="shared" si="11"/>
        <v>0</v>
      </c>
    </row>
    <row r="191" spans="1:10" x14ac:dyDescent="0.25">
      <c r="A191" s="634">
        <v>2125</v>
      </c>
      <c r="B191" s="634" t="s">
        <v>804</v>
      </c>
      <c r="C191" s="795">
        <v>855195395</v>
      </c>
      <c r="E191" s="1167">
        <v>2125</v>
      </c>
      <c r="F191" s="1167" t="s">
        <v>804</v>
      </c>
      <c r="G191" s="1168">
        <v>855195395</v>
      </c>
      <c r="H191" s="828"/>
      <c r="I191" s="634">
        <f t="shared" si="10"/>
        <v>0</v>
      </c>
      <c r="J191" s="822">
        <f t="shared" si="11"/>
        <v>0</v>
      </c>
    </row>
    <row r="192" spans="1:10" x14ac:dyDescent="0.25">
      <c r="A192" s="634">
        <v>212505</v>
      </c>
      <c r="B192" s="634" t="s">
        <v>805</v>
      </c>
      <c r="C192" s="795">
        <v>801266479</v>
      </c>
      <c r="E192" s="1167">
        <v>212505</v>
      </c>
      <c r="F192" s="1167" t="s">
        <v>805</v>
      </c>
      <c r="G192" s="1168">
        <v>801266479</v>
      </c>
      <c r="H192" s="828"/>
      <c r="I192" s="634">
        <f t="shared" si="10"/>
        <v>0</v>
      </c>
      <c r="J192" s="822">
        <f t="shared" si="11"/>
        <v>0</v>
      </c>
    </row>
    <row r="193" spans="1:10" x14ac:dyDescent="0.25">
      <c r="A193" s="634">
        <v>21250501</v>
      </c>
      <c r="B193" s="634" t="s">
        <v>806</v>
      </c>
      <c r="C193" s="795">
        <v>801266479</v>
      </c>
      <c r="E193" s="1167">
        <v>21250501</v>
      </c>
      <c r="F193" s="1167" t="s">
        <v>806</v>
      </c>
      <c r="G193" s="1168">
        <v>801266479</v>
      </c>
      <c r="H193" s="828"/>
      <c r="I193" s="634">
        <f t="shared" si="10"/>
        <v>0</v>
      </c>
      <c r="J193" s="822">
        <f t="shared" si="11"/>
        <v>0</v>
      </c>
    </row>
    <row r="194" spans="1:10" x14ac:dyDescent="0.25">
      <c r="A194" s="994">
        <v>212515</v>
      </c>
      <c r="B194" s="994" t="s">
        <v>1384</v>
      </c>
      <c r="C194" s="795">
        <v>53928916</v>
      </c>
      <c r="E194" s="1167">
        <v>212515</v>
      </c>
      <c r="F194" s="1167" t="s">
        <v>1384</v>
      </c>
      <c r="G194" s="1168">
        <v>53928916</v>
      </c>
      <c r="H194" s="828"/>
      <c r="I194" s="634">
        <f t="shared" si="10"/>
        <v>0</v>
      </c>
      <c r="J194" s="822">
        <f t="shared" si="11"/>
        <v>0</v>
      </c>
    </row>
    <row r="195" spans="1:10" x14ac:dyDescent="0.25">
      <c r="A195" s="994">
        <v>21251501</v>
      </c>
      <c r="B195" s="994" t="s">
        <v>1385</v>
      </c>
      <c r="C195" s="795">
        <v>53928916</v>
      </c>
      <c r="E195" s="1167">
        <v>21251501</v>
      </c>
      <c r="F195" s="1167" t="s">
        <v>1385</v>
      </c>
      <c r="G195" s="1168">
        <v>53928916</v>
      </c>
      <c r="H195" s="828"/>
      <c r="I195" s="634">
        <f t="shared" si="10"/>
        <v>0</v>
      </c>
      <c r="J195" s="822">
        <f t="shared" si="11"/>
        <v>0</v>
      </c>
    </row>
    <row r="196" spans="1:10" x14ac:dyDescent="0.25">
      <c r="A196" s="634">
        <v>2130</v>
      </c>
      <c r="B196" s="634" t="s">
        <v>807</v>
      </c>
      <c r="C196" s="795">
        <v>19363224467.580002</v>
      </c>
      <c r="E196" s="1167">
        <v>2130</v>
      </c>
      <c r="F196" s="1167" t="s">
        <v>807</v>
      </c>
      <c r="G196" s="1168">
        <v>19363224467.580002</v>
      </c>
      <c r="H196" s="828"/>
      <c r="I196" s="634">
        <f t="shared" si="10"/>
        <v>0</v>
      </c>
      <c r="J196" s="822">
        <f t="shared" si="11"/>
        <v>0</v>
      </c>
    </row>
    <row r="197" spans="1:10" x14ac:dyDescent="0.25">
      <c r="A197" s="634">
        <v>213010</v>
      </c>
      <c r="B197" s="634" t="s">
        <v>808</v>
      </c>
      <c r="C197" s="795">
        <v>19363224467.580002</v>
      </c>
      <c r="E197" s="1167">
        <v>213010</v>
      </c>
      <c r="F197" s="1167" t="s">
        <v>808</v>
      </c>
      <c r="G197" s="1168">
        <v>19363224467.580002</v>
      </c>
      <c r="H197" s="828"/>
      <c r="I197" s="634">
        <f t="shared" si="10"/>
        <v>0</v>
      </c>
      <c r="J197" s="822">
        <f t="shared" si="11"/>
        <v>0</v>
      </c>
    </row>
    <row r="198" spans="1:10" x14ac:dyDescent="0.25">
      <c r="A198" s="634">
        <v>21301001</v>
      </c>
      <c r="B198" s="634" t="s">
        <v>809</v>
      </c>
      <c r="C198" s="795">
        <v>19363224467.580002</v>
      </c>
      <c r="E198" s="1167">
        <v>21301001</v>
      </c>
      <c r="F198" s="1167" t="s">
        <v>809</v>
      </c>
      <c r="G198" s="1168">
        <v>19363224467.580002</v>
      </c>
      <c r="H198" s="828"/>
      <c r="I198" s="634">
        <f t="shared" si="10"/>
        <v>0</v>
      </c>
      <c r="J198" s="822">
        <f t="shared" si="11"/>
        <v>0</v>
      </c>
    </row>
    <row r="199" spans="1:10" x14ac:dyDescent="0.25">
      <c r="A199" s="994">
        <v>23</v>
      </c>
      <c r="B199" s="994" t="s">
        <v>810</v>
      </c>
      <c r="C199" s="795">
        <v>2504070091</v>
      </c>
      <c r="E199" s="1167">
        <v>23</v>
      </c>
      <c r="F199" s="1167" t="s">
        <v>810</v>
      </c>
      <c r="G199" s="1168">
        <v>2504070091</v>
      </c>
      <c r="H199" s="828"/>
      <c r="I199" s="634">
        <f t="shared" si="10"/>
        <v>0</v>
      </c>
      <c r="J199" s="822">
        <f t="shared" si="11"/>
        <v>0</v>
      </c>
    </row>
    <row r="200" spans="1:10" x14ac:dyDescent="0.25">
      <c r="A200" s="994">
        <v>2305</v>
      </c>
      <c r="B200" s="994" t="s">
        <v>1351</v>
      </c>
      <c r="C200" s="795">
        <v>0</v>
      </c>
      <c r="E200" s="1167">
        <v>2305</v>
      </c>
      <c r="F200" s="1167" t="s">
        <v>1351</v>
      </c>
      <c r="G200" s="1168">
        <v>0</v>
      </c>
      <c r="H200" s="828"/>
      <c r="I200" s="634">
        <f t="shared" si="10"/>
        <v>0</v>
      </c>
      <c r="J200" s="822">
        <f t="shared" si="11"/>
        <v>0</v>
      </c>
    </row>
    <row r="201" spans="1:10" x14ac:dyDescent="0.25">
      <c r="A201" s="994">
        <v>230505</v>
      </c>
      <c r="B201" s="994" t="s">
        <v>695</v>
      </c>
      <c r="C201" s="795">
        <v>0</v>
      </c>
      <c r="E201" s="1167">
        <v>230505</v>
      </c>
      <c r="F201" s="1167" t="s">
        <v>695</v>
      </c>
      <c r="G201" s="1168">
        <v>0</v>
      </c>
      <c r="H201" s="828"/>
      <c r="I201" s="634">
        <f t="shared" si="10"/>
        <v>0</v>
      </c>
      <c r="J201" s="822">
        <f t="shared" si="11"/>
        <v>0</v>
      </c>
    </row>
    <row r="202" spans="1:10" x14ac:dyDescent="0.25">
      <c r="A202" s="994">
        <v>23050501</v>
      </c>
      <c r="B202" s="994" t="s">
        <v>1386</v>
      </c>
      <c r="C202" s="795">
        <v>0</v>
      </c>
      <c r="E202" s="1167">
        <v>23050501</v>
      </c>
      <c r="F202" s="1167" t="s">
        <v>1386</v>
      </c>
      <c r="G202" s="1168">
        <v>0</v>
      </c>
      <c r="H202" s="828"/>
      <c r="I202" s="634">
        <f t="shared" si="10"/>
        <v>0</v>
      </c>
      <c r="J202" s="822">
        <f t="shared" si="11"/>
        <v>0</v>
      </c>
    </row>
    <row r="203" spans="1:10" x14ac:dyDescent="0.25">
      <c r="A203" s="994">
        <v>230510</v>
      </c>
      <c r="B203" s="994" t="s">
        <v>1305</v>
      </c>
      <c r="C203" s="795">
        <v>0</v>
      </c>
      <c r="E203" s="1167">
        <v>230510</v>
      </c>
      <c r="F203" s="1167" t="s">
        <v>1305</v>
      </c>
      <c r="G203" s="1168">
        <v>0</v>
      </c>
      <c r="H203" s="828"/>
      <c r="I203" s="634">
        <f t="shared" si="10"/>
        <v>0</v>
      </c>
      <c r="J203" s="822">
        <f t="shared" si="11"/>
        <v>0</v>
      </c>
    </row>
    <row r="204" spans="1:10" x14ac:dyDescent="0.25">
      <c r="A204" s="994">
        <v>23051001</v>
      </c>
      <c r="B204" s="994" t="s">
        <v>1306</v>
      </c>
      <c r="C204" s="795">
        <v>0</v>
      </c>
      <c r="E204" s="1167">
        <v>23051001</v>
      </c>
      <c r="F204" s="1167" t="s">
        <v>1306</v>
      </c>
      <c r="G204" s="1168">
        <v>0</v>
      </c>
      <c r="H204" s="828"/>
      <c r="I204" s="634">
        <f t="shared" si="10"/>
        <v>0</v>
      </c>
      <c r="J204" s="822">
        <f t="shared" si="11"/>
        <v>0</v>
      </c>
    </row>
    <row r="205" spans="1:10" x14ac:dyDescent="0.25">
      <c r="A205" s="994">
        <v>2308</v>
      </c>
      <c r="B205" s="994" t="s">
        <v>1387</v>
      </c>
      <c r="C205" s="795">
        <v>2504070091</v>
      </c>
      <c r="E205" s="1167">
        <v>2308</v>
      </c>
      <c r="F205" s="1167" t="s">
        <v>1387</v>
      </c>
      <c r="G205" s="1168">
        <v>2504070091</v>
      </c>
      <c r="H205" s="828"/>
      <c r="I205" s="634">
        <f t="shared" si="10"/>
        <v>0</v>
      </c>
      <c r="J205" s="822">
        <f t="shared" si="11"/>
        <v>0</v>
      </c>
    </row>
    <row r="206" spans="1:10" x14ac:dyDescent="0.25">
      <c r="A206" s="994">
        <v>230805</v>
      </c>
      <c r="B206" s="994" t="s">
        <v>695</v>
      </c>
      <c r="C206" s="795">
        <v>1683050420</v>
      </c>
      <c r="E206" s="1167">
        <v>230805</v>
      </c>
      <c r="F206" s="1167" t="s">
        <v>695</v>
      </c>
      <c r="G206" s="1168">
        <v>1683050420</v>
      </c>
      <c r="H206" s="828"/>
      <c r="I206" s="634">
        <f t="shared" si="10"/>
        <v>0</v>
      </c>
      <c r="J206" s="822">
        <f t="shared" si="11"/>
        <v>0</v>
      </c>
    </row>
    <row r="207" spans="1:10" x14ac:dyDescent="0.25">
      <c r="A207" s="994">
        <v>23080501</v>
      </c>
      <c r="B207" s="994" t="s">
        <v>1386</v>
      </c>
      <c r="C207" s="795">
        <v>1683050420</v>
      </c>
      <c r="E207" s="1167">
        <v>23080501</v>
      </c>
      <c r="F207" s="1167" t="s">
        <v>1386</v>
      </c>
      <c r="G207" s="1168">
        <v>1683050420</v>
      </c>
      <c r="H207" s="828"/>
      <c r="I207" s="634">
        <f t="shared" si="10"/>
        <v>0</v>
      </c>
      <c r="J207" s="822">
        <f t="shared" si="11"/>
        <v>0</v>
      </c>
    </row>
    <row r="208" spans="1:10" x14ac:dyDescent="0.25">
      <c r="A208" s="994">
        <v>230810</v>
      </c>
      <c r="B208" s="994" t="s">
        <v>1305</v>
      </c>
      <c r="C208" s="795">
        <v>809400000</v>
      </c>
      <c r="E208" s="1167">
        <v>230810</v>
      </c>
      <c r="F208" s="1167" t="s">
        <v>1305</v>
      </c>
      <c r="G208" s="1168">
        <v>809400000</v>
      </c>
      <c r="H208" s="828"/>
      <c r="I208" s="634">
        <f t="shared" si="10"/>
        <v>0</v>
      </c>
      <c r="J208" s="822">
        <f t="shared" si="11"/>
        <v>0</v>
      </c>
    </row>
    <row r="209" spans="1:10" x14ac:dyDescent="0.25">
      <c r="A209" s="994">
        <v>23081001</v>
      </c>
      <c r="B209" s="994" t="s">
        <v>1306</v>
      </c>
      <c r="C209" s="795">
        <v>809400000</v>
      </c>
      <c r="E209" s="1167">
        <v>23081001</v>
      </c>
      <c r="F209" s="1167" t="s">
        <v>1306</v>
      </c>
      <c r="G209" s="1168">
        <v>809400000</v>
      </c>
      <c r="H209" s="828"/>
      <c r="I209" s="634">
        <f t="shared" si="10"/>
        <v>0</v>
      </c>
      <c r="J209" s="822">
        <f t="shared" si="11"/>
        <v>0</v>
      </c>
    </row>
    <row r="210" spans="1:10" x14ac:dyDescent="0.25">
      <c r="A210" s="994">
        <v>230815</v>
      </c>
      <c r="B210" s="994" t="s">
        <v>1388</v>
      </c>
      <c r="C210" s="795">
        <v>11619671</v>
      </c>
      <c r="E210" s="1167">
        <v>230815</v>
      </c>
      <c r="F210" s="1167" t="s">
        <v>1388</v>
      </c>
      <c r="G210" s="1168">
        <v>11619671</v>
      </c>
      <c r="H210" s="828"/>
      <c r="I210" s="634">
        <f t="shared" si="10"/>
        <v>0</v>
      </c>
      <c r="J210" s="822">
        <f t="shared" si="11"/>
        <v>0</v>
      </c>
    </row>
    <row r="211" spans="1:10" x14ac:dyDescent="0.25">
      <c r="A211" s="994">
        <v>23081501</v>
      </c>
      <c r="B211" s="994" t="s">
        <v>1389</v>
      </c>
      <c r="C211" s="795">
        <v>11619671</v>
      </c>
      <c r="E211" s="1167">
        <v>23081501</v>
      </c>
      <c r="F211" s="1167" t="s">
        <v>1389</v>
      </c>
      <c r="G211" s="1168">
        <v>11619671</v>
      </c>
      <c r="H211" s="828"/>
      <c r="I211" s="634">
        <f t="shared" si="10"/>
        <v>0</v>
      </c>
      <c r="J211" s="822">
        <f t="shared" si="11"/>
        <v>0</v>
      </c>
    </row>
    <row r="212" spans="1:10" x14ac:dyDescent="0.25">
      <c r="A212" s="634">
        <v>24</v>
      </c>
      <c r="B212" s="634" t="s">
        <v>38</v>
      </c>
      <c r="C212" s="795">
        <v>611319989</v>
      </c>
      <c r="E212" s="1167">
        <v>24</v>
      </c>
      <c r="F212" s="1167" t="s">
        <v>38</v>
      </c>
      <c r="G212" s="1168">
        <v>611319989</v>
      </c>
      <c r="H212" s="828"/>
      <c r="I212" s="634">
        <f t="shared" si="10"/>
        <v>0</v>
      </c>
      <c r="J212" s="822">
        <f t="shared" si="11"/>
        <v>0</v>
      </c>
    </row>
    <row r="213" spans="1:10" x14ac:dyDescent="0.25">
      <c r="A213" s="634">
        <v>2405</v>
      </c>
      <c r="B213" s="634" t="s">
        <v>175</v>
      </c>
      <c r="C213" s="795">
        <v>886862</v>
      </c>
      <c r="E213" s="1167">
        <v>2405</v>
      </c>
      <c r="F213" s="1167" t="s">
        <v>175</v>
      </c>
      <c r="G213" s="1168">
        <v>886862</v>
      </c>
      <c r="H213" s="828"/>
      <c r="I213" s="634">
        <f t="shared" si="10"/>
        <v>0</v>
      </c>
      <c r="J213" s="822">
        <f t="shared" si="11"/>
        <v>0</v>
      </c>
    </row>
    <row r="214" spans="1:10" x14ac:dyDescent="0.25">
      <c r="A214" s="634">
        <v>240510</v>
      </c>
      <c r="B214" s="634" t="s">
        <v>799</v>
      </c>
      <c r="C214" s="795">
        <v>886862</v>
      </c>
      <c r="E214" s="1167">
        <v>240510</v>
      </c>
      <c r="F214" s="1167" t="s">
        <v>799</v>
      </c>
      <c r="G214" s="1168">
        <v>886862</v>
      </c>
      <c r="H214" s="828"/>
      <c r="I214" s="634">
        <f t="shared" si="10"/>
        <v>0</v>
      </c>
      <c r="J214" s="822">
        <f t="shared" si="11"/>
        <v>0</v>
      </c>
    </row>
    <row r="215" spans="1:10" x14ac:dyDescent="0.25">
      <c r="A215" s="634">
        <v>24051002</v>
      </c>
      <c r="B215" s="634" t="s">
        <v>1028</v>
      </c>
      <c r="C215" s="795">
        <v>886862</v>
      </c>
      <c r="E215" s="1167">
        <v>24051002</v>
      </c>
      <c r="F215" s="1167" t="s">
        <v>1028</v>
      </c>
      <c r="G215" s="1168">
        <v>886862</v>
      </c>
      <c r="H215" s="828"/>
      <c r="I215" s="634">
        <f t="shared" si="10"/>
        <v>0</v>
      </c>
      <c r="J215" s="822">
        <f t="shared" si="11"/>
        <v>0</v>
      </c>
    </row>
    <row r="216" spans="1:10" x14ac:dyDescent="0.25">
      <c r="A216" s="634">
        <v>2415</v>
      </c>
      <c r="B216" s="634" t="s">
        <v>178</v>
      </c>
      <c r="C216" s="795">
        <v>4588669</v>
      </c>
      <c r="E216" s="1167">
        <v>2415</v>
      </c>
      <c r="F216" s="1167" t="s">
        <v>178</v>
      </c>
      <c r="G216" s="1168">
        <v>4588669</v>
      </c>
      <c r="H216" s="828"/>
      <c r="I216" s="634">
        <f t="shared" si="10"/>
        <v>0</v>
      </c>
      <c r="J216" s="822">
        <f t="shared" si="11"/>
        <v>0</v>
      </c>
    </row>
    <row r="217" spans="1:10" x14ac:dyDescent="0.25">
      <c r="A217" s="634">
        <v>241595</v>
      </c>
      <c r="B217" s="634" t="s">
        <v>742</v>
      </c>
      <c r="C217" s="795">
        <v>4588669</v>
      </c>
      <c r="E217" s="1167">
        <v>241595</v>
      </c>
      <c r="F217" s="1167" t="s">
        <v>742</v>
      </c>
      <c r="G217" s="1168">
        <v>4588669</v>
      </c>
      <c r="H217" s="828"/>
      <c r="I217" s="634">
        <f t="shared" si="10"/>
        <v>0</v>
      </c>
      <c r="J217" s="822">
        <f t="shared" si="11"/>
        <v>0</v>
      </c>
    </row>
    <row r="218" spans="1:10" x14ac:dyDescent="0.25">
      <c r="A218" s="634">
        <v>24159501</v>
      </c>
      <c r="B218" s="634" t="s">
        <v>811</v>
      </c>
      <c r="C218" s="795">
        <v>4588669</v>
      </c>
      <c r="E218" s="1167">
        <v>24159501</v>
      </c>
      <c r="F218" s="1167" t="s">
        <v>811</v>
      </c>
      <c r="G218" s="1168">
        <v>4588669</v>
      </c>
      <c r="H218" s="828"/>
      <c r="I218" s="634">
        <f t="shared" si="10"/>
        <v>0</v>
      </c>
      <c r="J218" s="822">
        <f t="shared" si="11"/>
        <v>0</v>
      </c>
    </row>
    <row r="219" spans="1:10" x14ac:dyDescent="0.25">
      <c r="A219" s="634">
        <v>2435</v>
      </c>
      <c r="B219" s="634" t="s">
        <v>173</v>
      </c>
      <c r="C219" s="795">
        <v>51998212</v>
      </c>
      <c r="E219" s="1167">
        <v>2435</v>
      </c>
      <c r="F219" s="1167" t="s">
        <v>173</v>
      </c>
      <c r="G219" s="1168">
        <v>51998212</v>
      </c>
      <c r="H219" s="828"/>
      <c r="I219" s="634">
        <f t="shared" si="10"/>
        <v>0</v>
      </c>
      <c r="J219" s="822">
        <f t="shared" si="11"/>
        <v>0</v>
      </c>
    </row>
    <row r="220" spans="1:10" x14ac:dyDescent="0.25">
      <c r="A220" s="634">
        <v>243505</v>
      </c>
      <c r="B220" s="634" t="s">
        <v>812</v>
      </c>
      <c r="C220" s="795">
        <v>51998212</v>
      </c>
      <c r="E220" s="1167">
        <v>243505</v>
      </c>
      <c r="F220" s="1167" t="s">
        <v>812</v>
      </c>
      <c r="G220" s="1168">
        <v>51998212</v>
      </c>
      <c r="H220" s="828"/>
      <c r="I220" s="634">
        <f t="shared" si="10"/>
        <v>0</v>
      </c>
      <c r="J220" s="822">
        <f t="shared" si="11"/>
        <v>0</v>
      </c>
    </row>
    <row r="221" spans="1:10" x14ac:dyDescent="0.25">
      <c r="A221" s="634">
        <v>24350501</v>
      </c>
      <c r="B221" s="634" t="s">
        <v>813</v>
      </c>
      <c r="C221" s="795">
        <v>51998212</v>
      </c>
      <c r="E221" s="1167">
        <v>24350501</v>
      </c>
      <c r="F221" s="1167" t="s">
        <v>813</v>
      </c>
      <c r="G221" s="1168">
        <v>51998212</v>
      </c>
      <c r="H221" s="828"/>
      <c r="I221" s="634">
        <f t="shared" si="10"/>
        <v>0</v>
      </c>
      <c r="J221" s="822">
        <f t="shared" si="11"/>
        <v>0</v>
      </c>
    </row>
    <row r="222" spans="1:10" x14ac:dyDescent="0.25">
      <c r="A222" s="634">
        <v>2442</v>
      </c>
      <c r="B222" s="634" t="s">
        <v>814</v>
      </c>
      <c r="C222" s="795">
        <v>712352</v>
      </c>
      <c r="E222" s="1167">
        <v>2442</v>
      </c>
      <c r="F222" s="1167" t="s">
        <v>814</v>
      </c>
      <c r="G222" s="1168">
        <v>712352</v>
      </c>
      <c r="H222" s="828"/>
      <c r="I222" s="634">
        <f t="shared" si="10"/>
        <v>0</v>
      </c>
      <c r="J222" s="822">
        <f t="shared" si="11"/>
        <v>0</v>
      </c>
    </row>
    <row r="223" spans="1:10" x14ac:dyDescent="0.25">
      <c r="A223" s="634">
        <v>244205</v>
      </c>
      <c r="B223" s="634" t="s">
        <v>1307</v>
      </c>
      <c r="C223" s="795">
        <v>132231</v>
      </c>
      <c r="E223" s="1167">
        <v>244205</v>
      </c>
      <c r="F223" s="1167" t="s">
        <v>1307</v>
      </c>
      <c r="G223" s="1168">
        <v>132231</v>
      </c>
      <c r="H223" s="828"/>
      <c r="I223" s="634">
        <f t="shared" si="10"/>
        <v>0</v>
      </c>
      <c r="J223" s="822">
        <f t="shared" si="11"/>
        <v>0</v>
      </c>
    </row>
    <row r="224" spans="1:10" x14ac:dyDescent="0.25">
      <c r="A224" s="634">
        <v>24420501</v>
      </c>
      <c r="B224" s="634" t="s">
        <v>1308</v>
      </c>
      <c r="C224" s="795">
        <v>132231</v>
      </c>
      <c r="E224" s="1167">
        <v>24420501</v>
      </c>
      <c r="F224" s="1167" t="s">
        <v>1308</v>
      </c>
      <c r="G224" s="1168">
        <v>132231</v>
      </c>
      <c r="H224" s="828"/>
      <c r="I224" s="634">
        <f t="shared" si="10"/>
        <v>0</v>
      </c>
      <c r="J224" s="822">
        <f t="shared" si="11"/>
        <v>0</v>
      </c>
    </row>
    <row r="225" spans="1:10" x14ac:dyDescent="0.25">
      <c r="A225" s="994">
        <v>244215</v>
      </c>
      <c r="B225" s="994" t="s">
        <v>1390</v>
      </c>
      <c r="C225" s="795">
        <v>0</v>
      </c>
      <c r="E225" s="1167">
        <v>244215</v>
      </c>
      <c r="F225" s="1167" t="s">
        <v>1390</v>
      </c>
      <c r="G225" s="1168">
        <v>0</v>
      </c>
      <c r="H225" s="828"/>
      <c r="I225" s="634">
        <f t="shared" si="10"/>
        <v>0</v>
      </c>
      <c r="J225" s="822">
        <f t="shared" si="11"/>
        <v>0</v>
      </c>
    </row>
    <row r="226" spans="1:10" x14ac:dyDescent="0.25">
      <c r="A226" s="994">
        <v>24421501</v>
      </c>
      <c r="B226" s="994" t="s">
        <v>1391</v>
      </c>
      <c r="C226" s="795">
        <v>0</v>
      </c>
      <c r="E226" s="1167">
        <v>24421501</v>
      </c>
      <c r="F226" s="1167" t="s">
        <v>1391</v>
      </c>
      <c r="G226" s="1168">
        <v>0</v>
      </c>
      <c r="H226" s="828"/>
      <c r="I226" s="634">
        <f t="shared" si="10"/>
        <v>0</v>
      </c>
      <c r="J226" s="822">
        <f t="shared" si="11"/>
        <v>0</v>
      </c>
    </row>
    <row r="227" spans="1:10" x14ac:dyDescent="0.25">
      <c r="A227" s="634">
        <v>244220</v>
      </c>
      <c r="B227" s="634" t="s">
        <v>815</v>
      </c>
      <c r="C227" s="795">
        <v>580121</v>
      </c>
      <c r="E227" s="1167">
        <v>244220</v>
      </c>
      <c r="F227" s="1167" t="s">
        <v>815</v>
      </c>
      <c r="G227" s="1168">
        <v>580121</v>
      </c>
      <c r="H227" s="828"/>
      <c r="I227" s="634">
        <f t="shared" si="10"/>
        <v>0</v>
      </c>
      <c r="J227" s="822">
        <f t="shared" si="11"/>
        <v>0</v>
      </c>
    </row>
    <row r="228" spans="1:10" x14ac:dyDescent="0.25">
      <c r="A228" s="634">
        <v>24422001</v>
      </c>
      <c r="B228" s="634" t="s">
        <v>816</v>
      </c>
      <c r="C228" s="795">
        <v>580121</v>
      </c>
      <c r="E228" s="1167">
        <v>24422001</v>
      </c>
      <c r="F228" s="1167" t="s">
        <v>816</v>
      </c>
      <c r="G228" s="1168">
        <v>580121</v>
      </c>
      <c r="H228" s="828"/>
      <c r="I228" s="634">
        <f t="shared" si="10"/>
        <v>0</v>
      </c>
      <c r="J228" s="822">
        <f t="shared" si="11"/>
        <v>0</v>
      </c>
    </row>
    <row r="229" spans="1:10" x14ac:dyDescent="0.25">
      <c r="A229" s="634">
        <v>2445</v>
      </c>
      <c r="B229" s="634" t="s">
        <v>179</v>
      </c>
      <c r="C229" s="795">
        <v>42582458</v>
      </c>
      <c r="E229" s="1167">
        <v>2445</v>
      </c>
      <c r="F229" s="1167" t="s">
        <v>179</v>
      </c>
      <c r="G229" s="1168">
        <v>42582458</v>
      </c>
      <c r="H229" s="828"/>
      <c r="I229" s="634">
        <f t="shared" si="10"/>
        <v>0</v>
      </c>
      <c r="J229" s="822">
        <f t="shared" si="11"/>
        <v>0</v>
      </c>
    </row>
    <row r="230" spans="1:10" x14ac:dyDescent="0.25">
      <c r="A230" s="634">
        <v>244505</v>
      </c>
      <c r="B230" s="634" t="s">
        <v>817</v>
      </c>
      <c r="C230" s="795">
        <v>6317000</v>
      </c>
      <c r="E230" s="1167">
        <v>244505</v>
      </c>
      <c r="F230" s="1167" t="s">
        <v>817</v>
      </c>
      <c r="G230" s="1168">
        <v>6317000</v>
      </c>
      <c r="H230" s="828"/>
      <c r="I230" s="634">
        <f t="shared" si="10"/>
        <v>0</v>
      </c>
      <c r="J230" s="822">
        <f t="shared" si="11"/>
        <v>0</v>
      </c>
    </row>
    <row r="231" spans="1:10" x14ac:dyDescent="0.25">
      <c r="A231" s="634">
        <v>24450501</v>
      </c>
      <c r="B231" s="634" t="s">
        <v>818</v>
      </c>
      <c r="C231" s="795">
        <v>6317000</v>
      </c>
      <c r="E231" s="1167">
        <v>24450501</v>
      </c>
      <c r="F231" s="1167" t="s">
        <v>818</v>
      </c>
      <c r="G231" s="1168">
        <v>6317000</v>
      </c>
      <c r="H231" s="828"/>
      <c r="I231" s="634">
        <f t="shared" si="10"/>
        <v>0</v>
      </c>
      <c r="J231" s="822">
        <f t="shared" si="11"/>
        <v>0</v>
      </c>
    </row>
    <row r="232" spans="1:10" x14ac:dyDescent="0.25">
      <c r="A232" s="634">
        <v>244515</v>
      </c>
      <c r="B232" s="634" t="s">
        <v>72</v>
      </c>
      <c r="C232" s="795">
        <v>3306130</v>
      </c>
      <c r="E232" s="1167">
        <v>244515</v>
      </c>
      <c r="F232" s="1167" t="s">
        <v>72</v>
      </c>
      <c r="G232" s="1168">
        <v>3306130</v>
      </c>
      <c r="H232" s="828"/>
      <c r="I232" s="634">
        <f t="shared" ref="I232:I245" si="12">+A232-E232</f>
        <v>0</v>
      </c>
      <c r="J232" s="822">
        <f t="shared" ref="J232:J245" si="13">+C232-G232</f>
        <v>0</v>
      </c>
    </row>
    <row r="233" spans="1:10" x14ac:dyDescent="0.25">
      <c r="A233" s="634">
        <v>24451501</v>
      </c>
      <c r="B233" s="634" t="s">
        <v>819</v>
      </c>
      <c r="C233" s="795">
        <v>2219000</v>
      </c>
      <c r="E233" s="1167">
        <v>24451501</v>
      </c>
      <c r="F233" s="1167" t="s">
        <v>819</v>
      </c>
      <c r="G233" s="1168">
        <v>2219000</v>
      </c>
      <c r="H233" s="828"/>
      <c r="I233" s="634">
        <f t="shared" si="12"/>
        <v>0</v>
      </c>
      <c r="J233" s="822">
        <f t="shared" si="13"/>
        <v>0</v>
      </c>
    </row>
    <row r="234" spans="1:10" x14ac:dyDescent="0.25">
      <c r="A234" s="634">
        <v>24451502</v>
      </c>
      <c r="B234" s="634" t="s">
        <v>1047</v>
      </c>
      <c r="C234" s="795">
        <v>1087130</v>
      </c>
      <c r="E234" s="1167">
        <v>24451502</v>
      </c>
      <c r="F234" s="1167" t="s">
        <v>1047</v>
      </c>
      <c r="G234" s="1168">
        <v>1087130</v>
      </c>
      <c r="H234" s="828"/>
      <c r="I234" s="634">
        <f t="shared" si="12"/>
        <v>0</v>
      </c>
      <c r="J234" s="822">
        <f t="shared" si="13"/>
        <v>0</v>
      </c>
    </row>
    <row r="235" spans="1:10" x14ac:dyDescent="0.25">
      <c r="A235" s="634">
        <v>244520</v>
      </c>
      <c r="B235" s="634" t="s">
        <v>113</v>
      </c>
      <c r="C235" s="795">
        <v>1954186</v>
      </c>
      <c r="E235" s="1167">
        <v>244520</v>
      </c>
      <c r="F235" s="1167" t="s">
        <v>113</v>
      </c>
      <c r="G235" s="1168">
        <v>1954186</v>
      </c>
      <c r="H235" s="828"/>
      <c r="I235" s="634">
        <f t="shared" si="12"/>
        <v>0</v>
      </c>
      <c r="J235" s="822">
        <f t="shared" si="13"/>
        <v>0</v>
      </c>
    </row>
    <row r="236" spans="1:10" x14ac:dyDescent="0.25">
      <c r="A236" s="634">
        <v>24452002</v>
      </c>
      <c r="B236" s="634" t="s">
        <v>1309</v>
      </c>
      <c r="C236" s="795">
        <v>1954186</v>
      </c>
      <c r="E236" s="1167">
        <v>24452002</v>
      </c>
      <c r="F236" s="1167" t="s">
        <v>1309</v>
      </c>
      <c r="G236" s="1168">
        <v>1954186</v>
      </c>
      <c r="H236" s="828"/>
      <c r="I236" s="634">
        <f t="shared" si="12"/>
        <v>0</v>
      </c>
      <c r="J236" s="822">
        <f t="shared" si="13"/>
        <v>0</v>
      </c>
    </row>
    <row r="237" spans="1:10" x14ac:dyDescent="0.25">
      <c r="A237" s="634">
        <v>244525</v>
      </c>
      <c r="B237" s="634" t="s">
        <v>794</v>
      </c>
      <c r="C237" s="795">
        <v>443352</v>
      </c>
      <c r="E237" s="1167">
        <v>244525</v>
      </c>
      <c r="F237" s="1167" t="s">
        <v>794</v>
      </c>
      <c r="G237" s="1168">
        <v>443352</v>
      </c>
      <c r="H237" s="828"/>
      <c r="I237" s="634">
        <f t="shared" si="12"/>
        <v>0</v>
      </c>
      <c r="J237" s="822">
        <f t="shared" si="13"/>
        <v>0</v>
      </c>
    </row>
    <row r="238" spans="1:10" x14ac:dyDescent="0.25">
      <c r="A238" s="634">
        <v>24452501</v>
      </c>
      <c r="B238" s="634" t="s">
        <v>820</v>
      </c>
      <c r="E238" s="1167"/>
      <c r="F238" s="1167"/>
      <c r="G238" s="1168"/>
      <c r="H238" s="828"/>
      <c r="I238" s="634">
        <f t="shared" si="12"/>
        <v>24452501</v>
      </c>
      <c r="J238" s="822">
        <f t="shared" si="13"/>
        <v>0</v>
      </c>
    </row>
    <row r="239" spans="1:10" x14ac:dyDescent="0.25">
      <c r="A239" s="634">
        <v>24452502</v>
      </c>
      <c r="B239" s="634" t="s">
        <v>1310</v>
      </c>
      <c r="C239" s="795">
        <v>86502</v>
      </c>
      <c r="E239" s="1167">
        <v>24452502</v>
      </c>
      <c r="F239" s="1167" t="s">
        <v>1310</v>
      </c>
      <c r="G239" s="1168">
        <v>86502</v>
      </c>
      <c r="H239" s="828"/>
      <c r="I239" s="634">
        <f t="shared" si="12"/>
        <v>0</v>
      </c>
      <c r="J239" s="822">
        <f t="shared" si="13"/>
        <v>0</v>
      </c>
    </row>
    <row r="240" spans="1:10" x14ac:dyDescent="0.25">
      <c r="A240" s="634">
        <v>24452503</v>
      </c>
      <c r="B240" s="634" t="s">
        <v>821</v>
      </c>
      <c r="C240" s="795">
        <v>302148</v>
      </c>
      <c r="E240" s="1167">
        <v>24452503</v>
      </c>
      <c r="F240" s="1167" t="s">
        <v>821</v>
      </c>
      <c r="G240" s="1168">
        <v>302148</v>
      </c>
      <c r="H240" s="828"/>
      <c r="I240" s="634">
        <f t="shared" si="12"/>
        <v>0</v>
      </c>
      <c r="J240" s="822">
        <f t="shared" si="13"/>
        <v>0</v>
      </c>
    </row>
    <row r="241" spans="1:10" x14ac:dyDescent="0.25">
      <c r="A241" s="634">
        <v>24452504</v>
      </c>
      <c r="B241" s="634" t="s">
        <v>1024</v>
      </c>
      <c r="C241" s="795">
        <v>42331</v>
      </c>
      <c r="E241" s="1167">
        <v>24452504</v>
      </c>
      <c r="F241" s="1167" t="s">
        <v>1024</v>
      </c>
      <c r="G241" s="1168">
        <v>42331</v>
      </c>
      <c r="H241" s="828"/>
      <c r="I241" s="634">
        <f t="shared" si="12"/>
        <v>0</v>
      </c>
      <c r="J241" s="822">
        <f t="shared" si="13"/>
        <v>0</v>
      </c>
    </row>
    <row r="242" spans="1:10" x14ac:dyDescent="0.25">
      <c r="A242" s="1155">
        <v>24452506</v>
      </c>
      <c r="B242" s="1155" t="s">
        <v>1524</v>
      </c>
      <c r="C242" s="795">
        <v>5300</v>
      </c>
      <c r="E242" s="1167">
        <v>24452506</v>
      </c>
      <c r="F242" s="1167" t="s">
        <v>1524</v>
      </c>
      <c r="G242" s="1168">
        <v>5300</v>
      </c>
      <c r="H242" s="828"/>
      <c r="I242" s="634">
        <f t="shared" si="12"/>
        <v>0</v>
      </c>
      <c r="J242" s="822">
        <f t="shared" si="13"/>
        <v>0</v>
      </c>
    </row>
    <row r="243" spans="1:10" x14ac:dyDescent="0.25">
      <c r="A243" s="1155">
        <v>24452507</v>
      </c>
      <c r="B243" s="1155" t="s">
        <v>1525</v>
      </c>
      <c r="C243" s="795">
        <v>7071</v>
      </c>
      <c r="E243" s="1167">
        <v>24452507</v>
      </c>
      <c r="F243" s="1167" t="s">
        <v>1525</v>
      </c>
      <c r="G243" s="1168">
        <v>7071</v>
      </c>
      <c r="H243" s="828"/>
      <c r="I243" s="634">
        <f t="shared" si="12"/>
        <v>0</v>
      </c>
      <c r="J243" s="822">
        <f t="shared" si="13"/>
        <v>0</v>
      </c>
    </row>
    <row r="244" spans="1:10" x14ac:dyDescent="0.25">
      <c r="A244" s="994">
        <v>244535</v>
      </c>
      <c r="B244" s="994" t="s">
        <v>822</v>
      </c>
      <c r="C244" s="795">
        <v>20572405</v>
      </c>
      <c r="E244" s="1167">
        <v>244535</v>
      </c>
      <c r="F244" s="1167" t="s">
        <v>822</v>
      </c>
      <c r="G244" s="1168">
        <v>20572405</v>
      </c>
      <c r="H244" s="828"/>
      <c r="I244" s="634">
        <f t="shared" si="12"/>
        <v>0</v>
      </c>
      <c r="J244" s="822">
        <f t="shared" si="13"/>
        <v>0</v>
      </c>
    </row>
    <row r="245" spans="1:10" x14ac:dyDescent="0.25">
      <c r="A245" s="994">
        <v>24453501</v>
      </c>
      <c r="B245" s="994" t="s">
        <v>823</v>
      </c>
      <c r="C245" s="795">
        <v>20572405</v>
      </c>
      <c r="E245" s="1167">
        <v>24453501</v>
      </c>
      <c r="F245" s="1167" t="s">
        <v>823</v>
      </c>
      <c r="G245" s="1168">
        <v>20572405</v>
      </c>
      <c r="H245" s="828"/>
      <c r="I245" s="634">
        <f t="shared" si="12"/>
        <v>0</v>
      </c>
      <c r="J245" s="822">
        <f t="shared" si="13"/>
        <v>0</v>
      </c>
    </row>
    <row r="246" spans="1:10" x14ac:dyDescent="0.25">
      <c r="A246" s="994">
        <v>244540</v>
      </c>
      <c r="B246" s="994" t="s">
        <v>824</v>
      </c>
      <c r="C246" s="795">
        <v>6389385</v>
      </c>
      <c r="E246" s="1167">
        <v>244540</v>
      </c>
      <c r="F246" s="1167" t="s">
        <v>824</v>
      </c>
      <c r="G246" s="1168">
        <v>6389385</v>
      </c>
      <c r="H246" s="828"/>
      <c r="I246" s="634">
        <f t="shared" ref="I246:I266" si="14">+A246-E246</f>
        <v>0</v>
      </c>
      <c r="J246" s="822">
        <f t="shared" ref="J246:J266" si="15">+C246-G246</f>
        <v>0</v>
      </c>
    </row>
    <row r="247" spans="1:10" x14ac:dyDescent="0.25">
      <c r="A247" s="994">
        <v>24454001</v>
      </c>
      <c r="B247" s="994" t="s">
        <v>1311</v>
      </c>
      <c r="E247" s="1167"/>
      <c r="F247" s="1167"/>
      <c r="G247" s="1168"/>
      <c r="H247" s="828"/>
      <c r="I247" s="634">
        <f t="shared" si="14"/>
        <v>24454001</v>
      </c>
      <c r="J247" s="822">
        <f t="shared" si="15"/>
        <v>0</v>
      </c>
    </row>
    <row r="248" spans="1:10" x14ac:dyDescent="0.25">
      <c r="A248" s="994">
        <v>24454004</v>
      </c>
      <c r="B248" s="994" t="s">
        <v>825</v>
      </c>
      <c r="C248" s="795">
        <v>6389385</v>
      </c>
      <c r="E248" s="1167">
        <v>24454004</v>
      </c>
      <c r="F248" s="1167" t="s">
        <v>825</v>
      </c>
      <c r="G248" s="1168">
        <v>6389385</v>
      </c>
      <c r="H248" s="828"/>
      <c r="I248" s="634">
        <f t="shared" si="14"/>
        <v>0</v>
      </c>
      <c r="J248" s="822">
        <f t="shared" si="15"/>
        <v>0</v>
      </c>
    </row>
    <row r="249" spans="1:10" x14ac:dyDescent="0.25">
      <c r="A249" s="994">
        <v>244545</v>
      </c>
      <c r="B249" s="994" t="s">
        <v>1352</v>
      </c>
      <c r="C249" s="795">
        <v>3600000</v>
      </c>
      <c r="E249" s="1167">
        <v>244545</v>
      </c>
      <c r="F249" s="1167" t="s">
        <v>1352</v>
      </c>
      <c r="G249" s="1168">
        <v>3600000</v>
      </c>
      <c r="H249" s="828"/>
      <c r="I249" s="634">
        <f t="shared" si="14"/>
        <v>0</v>
      </c>
      <c r="J249" s="822">
        <f t="shared" si="15"/>
        <v>0</v>
      </c>
    </row>
    <row r="250" spans="1:10" x14ac:dyDescent="0.25">
      <c r="A250" s="994">
        <v>24454501</v>
      </c>
      <c r="B250" s="994" t="s">
        <v>1353</v>
      </c>
      <c r="C250" s="795">
        <v>3600000</v>
      </c>
      <c r="E250" s="1167">
        <v>24454501</v>
      </c>
      <c r="F250" s="1167" t="s">
        <v>1353</v>
      </c>
      <c r="G250" s="1168">
        <v>3600000</v>
      </c>
      <c r="H250" s="828"/>
      <c r="I250" s="634">
        <f t="shared" si="14"/>
        <v>0</v>
      </c>
      <c r="J250" s="822">
        <f t="shared" si="15"/>
        <v>0</v>
      </c>
    </row>
    <row r="251" spans="1:10" x14ac:dyDescent="0.25">
      <c r="A251" s="994">
        <v>2448</v>
      </c>
      <c r="B251" s="994" t="s">
        <v>1354</v>
      </c>
      <c r="C251" s="795">
        <v>165664</v>
      </c>
      <c r="E251" s="1167">
        <v>2448</v>
      </c>
      <c r="F251" s="1167" t="s">
        <v>1354</v>
      </c>
      <c r="G251" s="1168">
        <v>165664</v>
      </c>
      <c r="H251" s="828"/>
      <c r="I251" s="634">
        <f t="shared" si="14"/>
        <v>0</v>
      </c>
      <c r="J251" s="822">
        <f t="shared" si="15"/>
        <v>0</v>
      </c>
    </row>
    <row r="252" spans="1:10" x14ac:dyDescent="0.25">
      <c r="A252" s="994">
        <v>244805</v>
      </c>
      <c r="B252" s="994" t="s">
        <v>1355</v>
      </c>
      <c r="C252" s="795">
        <v>165664</v>
      </c>
      <c r="E252" s="1167">
        <v>244805</v>
      </c>
      <c r="F252" s="1167" t="s">
        <v>1355</v>
      </c>
      <c r="G252" s="1168">
        <v>165664</v>
      </c>
      <c r="H252" s="828"/>
      <c r="I252" s="634">
        <f t="shared" si="14"/>
        <v>0</v>
      </c>
      <c r="J252" s="822">
        <f t="shared" si="15"/>
        <v>0</v>
      </c>
    </row>
    <row r="253" spans="1:10" x14ac:dyDescent="0.25">
      <c r="A253" s="994">
        <v>24480501</v>
      </c>
      <c r="B253" s="994" t="s">
        <v>1356</v>
      </c>
      <c r="E253" s="1167"/>
      <c r="F253" s="1167"/>
      <c r="G253" s="1168"/>
      <c r="H253" s="828"/>
      <c r="I253" s="634">
        <f t="shared" si="14"/>
        <v>24480501</v>
      </c>
      <c r="J253" s="822">
        <f t="shared" si="15"/>
        <v>0</v>
      </c>
    </row>
    <row r="254" spans="1:10" x14ac:dyDescent="0.25">
      <c r="A254" s="994">
        <v>24480502</v>
      </c>
      <c r="B254" s="994" t="s">
        <v>1357</v>
      </c>
      <c r="C254" s="795">
        <v>165664</v>
      </c>
      <c r="E254" s="1167">
        <v>24480502</v>
      </c>
      <c r="F254" s="1167" t="s">
        <v>1526</v>
      </c>
      <c r="G254" s="1168">
        <v>165664</v>
      </c>
      <c r="H254" s="828"/>
      <c r="I254" s="634">
        <f t="shared" si="14"/>
        <v>0</v>
      </c>
      <c r="J254" s="822">
        <f t="shared" si="15"/>
        <v>0</v>
      </c>
    </row>
    <row r="255" spans="1:10" x14ac:dyDescent="0.25">
      <c r="A255" s="634">
        <v>2450</v>
      </c>
      <c r="B255" s="634" t="s">
        <v>180</v>
      </c>
      <c r="C255" s="795">
        <v>31720594</v>
      </c>
      <c r="E255" s="1167">
        <v>2450</v>
      </c>
      <c r="F255" s="1167" t="s">
        <v>180</v>
      </c>
      <c r="G255" s="1168">
        <v>31720594</v>
      </c>
      <c r="H255" s="828"/>
      <c r="I255" s="634">
        <f t="shared" si="14"/>
        <v>0</v>
      </c>
      <c r="J255" s="822">
        <f t="shared" si="15"/>
        <v>0</v>
      </c>
    </row>
    <row r="256" spans="1:10" x14ac:dyDescent="0.25">
      <c r="A256" s="634">
        <v>245005</v>
      </c>
      <c r="B256" s="634" t="s">
        <v>826</v>
      </c>
      <c r="C256" s="795">
        <v>10345100</v>
      </c>
      <c r="E256" s="1167">
        <v>245005</v>
      </c>
      <c r="F256" s="1167" t="s">
        <v>826</v>
      </c>
      <c r="G256" s="1168">
        <v>10345100</v>
      </c>
      <c r="H256" s="828"/>
      <c r="I256" s="634">
        <f t="shared" si="14"/>
        <v>0</v>
      </c>
      <c r="J256" s="822">
        <f t="shared" si="15"/>
        <v>0</v>
      </c>
    </row>
    <row r="257" spans="1:10" x14ac:dyDescent="0.25">
      <c r="A257" s="634">
        <v>24500501</v>
      </c>
      <c r="B257" s="634" t="s">
        <v>827</v>
      </c>
      <c r="C257" s="795">
        <v>10345100</v>
      </c>
      <c r="E257" s="1167">
        <v>24500501</v>
      </c>
      <c r="F257" s="1167" t="s">
        <v>827</v>
      </c>
      <c r="G257" s="1168">
        <v>10345100</v>
      </c>
      <c r="H257" s="828"/>
      <c r="I257" s="634">
        <f t="shared" si="14"/>
        <v>0</v>
      </c>
      <c r="J257" s="822">
        <f t="shared" si="15"/>
        <v>0</v>
      </c>
    </row>
    <row r="258" spans="1:10" x14ac:dyDescent="0.25">
      <c r="A258" s="634">
        <v>245010</v>
      </c>
      <c r="B258" s="634" t="s">
        <v>828</v>
      </c>
      <c r="C258" s="795">
        <v>13481600</v>
      </c>
      <c r="E258" s="1167">
        <v>245010</v>
      </c>
      <c r="F258" s="1167" t="s">
        <v>828</v>
      </c>
      <c r="G258" s="1168">
        <v>13481600</v>
      </c>
      <c r="H258" s="828"/>
      <c r="I258" s="634">
        <f t="shared" si="14"/>
        <v>0</v>
      </c>
      <c r="J258" s="822">
        <f t="shared" si="15"/>
        <v>0</v>
      </c>
    </row>
    <row r="259" spans="1:10" x14ac:dyDescent="0.25">
      <c r="A259" s="634">
        <v>24501001</v>
      </c>
      <c r="B259" s="634" t="s">
        <v>829</v>
      </c>
      <c r="C259" s="795">
        <v>13481600</v>
      </c>
      <c r="E259" s="1167">
        <v>24501001</v>
      </c>
      <c r="F259" s="1167" t="s">
        <v>829</v>
      </c>
      <c r="G259" s="1168">
        <v>13481600</v>
      </c>
      <c r="H259" s="828"/>
      <c r="I259" s="634">
        <f t="shared" si="14"/>
        <v>0</v>
      </c>
      <c r="J259" s="822">
        <f t="shared" si="15"/>
        <v>0</v>
      </c>
    </row>
    <row r="260" spans="1:10" x14ac:dyDescent="0.25">
      <c r="A260" s="634">
        <v>245015</v>
      </c>
      <c r="B260" s="634" t="s">
        <v>830</v>
      </c>
      <c r="C260" s="795">
        <v>1626400</v>
      </c>
      <c r="E260" s="1167">
        <v>245015</v>
      </c>
      <c r="F260" s="1167" t="s">
        <v>830</v>
      </c>
      <c r="G260" s="1168">
        <v>1626400</v>
      </c>
      <c r="H260" s="828"/>
      <c r="I260" s="634">
        <f t="shared" si="14"/>
        <v>0</v>
      </c>
      <c r="J260" s="822">
        <f t="shared" si="15"/>
        <v>0</v>
      </c>
    </row>
    <row r="261" spans="1:10" x14ac:dyDescent="0.25">
      <c r="A261" s="634">
        <v>24501501</v>
      </c>
      <c r="B261" s="634" t="s">
        <v>831</v>
      </c>
      <c r="C261" s="795">
        <v>1626400</v>
      </c>
      <c r="E261" s="1167">
        <v>24501501</v>
      </c>
      <c r="F261" s="1167" t="s">
        <v>831</v>
      </c>
      <c r="G261" s="1168">
        <v>1626400</v>
      </c>
      <c r="H261" s="828"/>
      <c r="I261" s="634">
        <f t="shared" si="14"/>
        <v>0</v>
      </c>
      <c r="J261" s="822">
        <f t="shared" si="15"/>
        <v>0</v>
      </c>
    </row>
    <row r="262" spans="1:10" x14ac:dyDescent="0.25">
      <c r="A262" s="634">
        <v>245020</v>
      </c>
      <c r="B262" s="634" t="s">
        <v>832</v>
      </c>
      <c r="C262" s="795">
        <v>5904600</v>
      </c>
      <c r="E262" s="1167">
        <v>245020</v>
      </c>
      <c r="F262" s="1167" t="s">
        <v>832</v>
      </c>
      <c r="G262" s="1168">
        <v>5904600</v>
      </c>
      <c r="H262" s="828"/>
      <c r="I262" s="634">
        <f t="shared" si="14"/>
        <v>0</v>
      </c>
      <c r="J262" s="822">
        <f t="shared" si="15"/>
        <v>0</v>
      </c>
    </row>
    <row r="263" spans="1:10" x14ac:dyDescent="0.25">
      <c r="A263" s="634">
        <v>24502001</v>
      </c>
      <c r="B263" s="634" t="s">
        <v>833</v>
      </c>
      <c r="C263" s="795">
        <v>5904600</v>
      </c>
      <c r="E263" s="1167">
        <v>24502001</v>
      </c>
      <c r="F263" s="1167" t="s">
        <v>833</v>
      </c>
      <c r="G263" s="1168">
        <v>5904600</v>
      </c>
      <c r="H263" s="828"/>
      <c r="I263" s="634">
        <f t="shared" si="14"/>
        <v>0</v>
      </c>
      <c r="J263" s="822">
        <f t="shared" si="15"/>
        <v>0</v>
      </c>
    </row>
    <row r="264" spans="1:10" x14ac:dyDescent="0.25">
      <c r="A264" s="1155">
        <v>245030</v>
      </c>
      <c r="B264" s="1155" t="s">
        <v>1527</v>
      </c>
      <c r="C264" s="795">
        <v>104994</v>
      </c>
      <c r="E264" s="1167">
        <v>245030</v>
      </c>
      <c r="F264" s="1167" t="s">
        <v>1527</v>
      </c>
      <c r="G264" s="1168">
        <v>104994</v>
      </c>
      <c r="H264" s="828"/>
      <c r="I264" s="634">
        <f t="shared" si="14"/>
        <v>0</v>
      </c>
      <c r="J264" s="822">
        <f t="shared" si="15"/>
        <v>0</v>
      </c>
    </row>
    <row r="265" spans="1:10" x14ac:dyDescent="0.25">
      <c r="A265" s="1155">
        <v>24503001</v>
      </c>
      <c r="B265" s="1155" t="s">
        <v>1528</v>
      </c>
      <c r="C265" s="795">
        <v>104994</v>
      </c>
      <c r="E265" s="1167">
        <v>24503001</v>
      </c>
      <c r="F265" s="1167" t="s">
        <v>1528</v>
      </c>
      <c r="G265" s="1168">
        <v>104994</v>
      </c>
      <c r="H265" s="828"/>
      <c r="I265" s="634">
        <f t="shared" si="14"/>
        <v>0</v>
      </c>
      <c r="J265" s="822">
        <f t="shared" si="15"/>
        <v>0</v>
      </c>
    </row>
    <row r="266" spans="1:10" x14ac:dyDescent="0.25">
      <c r="A266" s="634">
        <v>245035</v>
      </c>
      <c r="B266" s="634" t="s">
        <v>1010</v>
      </c>
      <c r="C266" s="795">
        <v>257900</v>
      </c>
      <c r="E266" s="1167">
        <v>245035</v>
      </c>
      <c r="F266" s="1167" t="s">
        <v>1010</v>
      </c>
      <c r="G266" s="1168">
        <v>257900</v>
      </c>
      <c r="H266" s="828"/>
      <c r="I266" s="634">
        <f t="shared" si="14"/>
        <v>0</v>
      </c>
      <c r="J266" s="822">
        <f t="shared" si="15"/>
        <v>0</v>
      </c>
    </row>
    <row r="267" spans="1:10" x14ac:dyDescent="0.25">
      <c r="A267" s="634">
        <v>24503501</v>
      </c>
      <c r="B267" s="634" t="s">
        <v>1011</v>
      </c>
      <c r="C267" s="795">
        <v>257900</v>
      </c>
      <c r="E267" s="1167">
        <v>24503501</v>
      </c>
      <c r="F267" s="1167" t="s">
        <v>1011</v>
      </c>
      <c r="G267" s="1168">
        <v>257900</v>
      </c>
      <c r="H267" s="828"/>
      <c r="I267" s="634">
        <f t="shared" ref="I267:I268" si="16">+A267-E267</f>
        <v>0</v>
      </c>
      <c r="J267" s="822">
        <f t="shared" ref="J267:J268" si="17">+C267-G267</f>
        <v>0</v>
      </c>
    </row>
    <row r="268" spans="1:10" x14ac:dyDescent="0.25">
      <c r="A268" s="826">
        <v>2460</v>
      </c>
      <c r="B268" s="634" t="s">
        <v>834</v>
      </c>
      <c r="C268" s="795">
        <v>24354059</v>
      </c>
      <c r="E268" s="1167">
        <v>2460</v>
      </c>
      <c r="F268" s="1167" t="s">
        <v>834</v>
      </c>
      <c r="G268" s="1168">
        <v>24354059</v>
      </c>
      <c r="H268" s="828"/>
      <c r="I268" s="634">
        <f t="shared" si="16"/>
        <v>0</v>
      </c>
      <c r="J268" s="822">
        <f t="shared" si="17"/>
        <v>0</v>
      </c>
    </row>
    <row r="269" spans="1:10" x14ac:dyDescent="0.25">
      <c r="A269" s="634">
        <v>246030</v>
      </c>
      <c r="B269" s="634" t="s">
        <v>835</v>
      </c>
      <c r="C269" s="795">
        <v>24354059</v>
      </c>
      <c r="E269" s="1167">
        <v>246030</v>
      </c>
      <c r="F269" s="1167" t="s">
        <v>835</v>
      </c>
      <c r="G269" s="1168">
        <v>24354059</v>
      </c>
      <c r="H269" s="828"/>
      <c r="I269" s="634">
        <f t="shared" ref="I269:I279" si="18">+A269-E269</f>
        <v>0</v>
      </c>
      <c r="J269" s="822">
        <f t="shared" ref="J269:J279" si="19">+C269-G269</f>
        <v>0</v>
      </c>
    </row>
    <row r="270" spans="1:10" x14ac:dyDescent="0.25">
      <c r="A270" s="634">
        <v>24603001</v>
      </c>
      <c r="B270" s="634" t="s">
        <v>836</v>
      </c>
      <c r="C270" s="795">
        <v>24354059</v>
      </c>
      <c r="E270" s="1167">
        <v>24603001</v>
      </c>
      <c r="F270" s="1167" t="s">
        <v>836</v>
      </c>
      <c r="G270" s="1168">
        <v>24354059</v>
      </c>
      <c r="H270" s="828"/>
      <c r="I270" s="634">
        <f t="shared" si="18"/>
        <v>0</v>
      </c>
      <c r="J270" s="822">
        <f t="shared" si="19"/>
        <v>0</v>
      </c>
    </row>
    <row r="271" spans="1:10" x14ac:dyDescent="0.25">
      <c r="A271" s="634">
        <v>2465</v>
      </c>
      <c r="B271" s="634" t="s">
        <v>181</v>
      </c>
      <c r="C271" s="795">
        <v>378239437</v>
      </c>
      <c r="E271" s="1167">
        <v>2465</v>
      </c>
      <c r="F271" s="1167" t="s">
        <v>181</v>
      </c>
      <c r="G271" s="1168">
        <v>378239437</v>
      </c>
      <c r="H271" s="828"/>
      <c r="I271" s="634">
        <f t="shared" si="18"/>
        <v>0</v>
      </c>
      <c r="J271" s="822">
        <f t="shared" si="19"/>
        <v>0</v>
      </c>
    </row>
    <row r="272" spans="1:10" x14ac:dyDescent="0.25">
      <c r="A272" s="634">
        <v>246505</v>
      </c>
      <c r="B272" s="634" t="s">
        <v>837</v>
      </c>
      <c r="C272" s="795">
        <v>378239437</v>
      </c>
      <c r="E272" s="1167">
        <v>246505</v>
      </c>
      <c r="F272" s="1167" t="s">
        <v>837</v>
      </c>
      <c r="G272" s="1168">
        <v>378239437</v>
      </c>
      <c r="H272" s="828"/>
      <c r="I272" s="634">
        <f t="shared" si="18"/>
        <v>0</v>
      </c>
      <c r="J272" s="822">
        <f t="shared" si="19"/>
        <v>0</v>
      </c>
    </row>
    <row r="273" spans="1:10" x14ac:dyDescent="0.25">
      <c r="A273" s="634">
        <v>24650501</v>
      </c>
      <c r="B273" s="634" t="s">
        <v>838</v>
      </c>
      <c r="C273" s="795">
        <v>378239437</v>
      </c>
      <c r="E273" s="1167">
        <v>24650501</v>
      </c>
      <c r="F273" s="1167" t="s">
        <v>838</v>
      </c>
      <c r="G273" s="1168">
        <v>378239437</v>
      </c>
      <c r="H273" s="828"/>
      <c r="I273" s="634">
        <f t="shared" si="18"/>
        <v>0</v>
      </c>
      <c r="J273" s="822">
        <f t="shared" si="19"/>
        <v>0</v>
      </c>
    </row>
    <row r="274" spans="1:10" x14ac:dyDescent="0.25">
      <c r="A274" s="826">
        <v>2495</v>
      </c>
      <c r="B274" s="634" t="s">
        <v>839</v>
      </c>
      <c r="C274" s="795">
        <v>76071682</v>
      </c>
      <c r="E274" s="1167">
        <v>2495</v>
      </c>
      <c r="F274" s="1167" t="s">
        <v>839</v>
      </c>
      <c r="G274" s="1168">
        <v>76071682</v>
      </c>
      <c r="H274" s="828"/>
      <c r="I274" s="634">
        <f t="shared" si="18"/>
        <v>0</v>
      </c>
      <c r="J274" s="822">
        <f t="shared" si="19"/>
        <v>0</v>
      </c>
    </row>
    <row r="275" spans="1:10" x14ac:dyDescent="0.25">
      <c r="A275" s="994">
        <v>24959513</v>
      </c>
      <c r="B275" s="994" t="s">
        <v>1392</v>
      </c>
      <c r="E275" s="1167"/>
      <c r="F275" s="1167"/>
      <c r="G275" s="1168"/>
      <c r="H275" s="828"/>
      <c r="I275" s="634">
        <f t="shared" si="18"/>
        <v>24959513</v>
      </c>
      <c r="J275" s="822">
        <f t="shared" si="19"/>
        <v>0</v>
      </c>
    </row>
    <row r="276" spans="1:10" x14ac:dyDescent="0.25">
      <c r="A276" s="634">
        <v>249595</v>
      </c>
      <c r="B276" s="634" t="s">
        <v>763</v>
      </c>
      <c r="C276" s="795">
        <v>76071682</v>
      </c>
      <c r="E276" s="1167">
        <v>249595</v>
      </c>
      <c r="F276" s="1167" t="s">
        <v>763</v>
      </c>
      <c r="G276" s="1168">
        <v>76071682</v>
      </c>
      <c r="H276" s="828"/>
      <c r="I276" s="634">
        <f t="shared" si="18"/>
        <v>0</v>
      </c>
      <c r="J276" s="822">
        <f t="shared" si="19"/>
        <v>0</v>
      </c>
    </row>
    <row r="277" spans="1:10" x14ac:dyDescent="0.25">
      <c r="A277" s="994">
        <v>24959502</v>
      </c>
      <c r="B277" s="994" t="s">
        <v>1358</v>
      </c>
      <c r="C277" s="795">
        <v>17563604</v>
      </c>
      <c r="E277" s="1167">
        <v>24959502</v>
      </c>
      <c r="F277" s="1167" t="s">
        <v>1358</v>
      </c>
      <c r="G277" s="1168">
        <v>17563604</v>
      </c>
      <c r="H277" s="828"/>
      <c r="I277" s="634">
        <f t="shared" si="18"/>
        <v>0</v>
      </c>
      <c r="J277" s="822">
        <f t="shared" si="19"/>
        <v>0</v>
      </c>
    </row>
    <row r="278" spans="1:10" x14ac:dyDescent="0.25">
      <c r="A278" s="634">
        <v>24959504</v>
      </c>
      <c r="B278" s="634" t="s">
        <v>840</v>
      </c>
      <c r="C278" s="795">
        <v>39768091</v>
      </c>
      <c r="E278" s="1167">
        <v>24959504</v>
      </c>
      <c r="F278" s="1167" t="s">
        <v>840</v>
      </c>
      <c r="G278" s="1168">
        <v>39768091</v>
      </c>
      <c r="H278" s="828"/>
      <c r="I278" s="634">
        <f t="shared" si="18"/>
        <v>0</v>
      </c>
      <c r="J278" s="822">
        <f t="shared" si="19"/>
        <v>0</v>
      </c>
    </row>
    <row r="279" spans="1:10" x14ac:dyDescent="0.25">
      <c r="A279" s="1079">
        <v>24959506</v>
      </c>
      <c r="B279" s="1079" t="s">
        <v>1445</v>
      </c>
      <c r="C279" s="795">
        <v>2327414</v>
      </c>
      <c r="E279" s="1167">
        <v>24959506</v>
      </c>
      <c r="F279" s="1167" t="s">
        <v>1445</v>
      </c>
      <c r="G279" s="795">
        <v>2327414</v>
      </c>
      <c r="H279" s="828"/>
      <c r="I279" s="634">
        <f t="shared" si="18"/>
        <v>0</v>
      </c>
      <c r="J279" s="822">
        <f t="shared" si="19"/>
        <v>0</v>
      </c>
    </row>
    <row r="280" spans="1:10" x14ac:dyDescent="0.25">
      <c r="A280" s="634">
        <v>24959511</v>
      </c>
      <c r="B280" s="634" t="s">
        <v>841</v>
      </c>
      <c r="C280" s="795">
        <v>16412573</v>
      </c>
      <c r="E280" s="1167">
        <v>24959511</v>
      </c>
      <c r="F280" s="1167" t="s">
        <v>841</v>
      </c>
      <c r="G280" s="1168">
        <v>16412573</v>
      </c>
      <c r="H280" s="828"/>
      <c r="I280" s="634">
        <f t="shared" ref="I280:I299" si="20">+A280-E280</f>
        <v>0</v>
      </c>
      <c r="J280" s="822">
        <f t="shared" ref="J280:J299" si="21">+C280-G280</f>
        <v>0</v>
      </c>
    </row>
    <row r="281" spans="1:10" x14ac:dyDescent="0.25">
      <c r="A281" s="1080">
        <v>25</v>
      </c>
      <c r="B281" s="1080" t="s">
        <v>1446</v>
      </c>
      <c r="E281" s="1167"/>
      <c r="F281" s="1167"/>
      <c r="G281" s="1168"/>
      <c r="H281" s="828"/>
      <c r="I281" s="634">
        <f t="shared" si="20"/>
        <v>25</v>
      </c>
      <c r="J281" s="822">
        <f t="shared" si="21"/>
        <v>0</v>
      </c>
    </row>
    <row r="282" spans="1:10" x14ac:dyDescent="0.25">
      <c r="A282" s="1079">
        <v>2510</v>
      </c>
      <c r="B282" s="1079" t="s">
        <v>1447</v>
      </c>
      <c r="E282" s="1167"/>
      <c r="F282" s="1167"/>
      <c r="G282" s="1168"/>
      <c r="H282" s="828"/>
      <c r="I282" s="634">
        <f t="shared" si="20"/>
        <v>2510</v>
      </c>
      <c r="J282" s="822">
        <f t="shared" si="21"/>
        <v>0</v>
      </c>
    </row>
    <row r="283" spans="1:10" x14ac:dyDescent="0.25">
      <c r="A283" s="1079">
        <v>251001</v>
      </c>
      <c r="B283" s="1079" t="s">
        <v>1448</v>
      </c>
      <c r="E283" s="1167"/>
      <c r="F283" s="1167"/>
      <c r="G283" s="1168"/>
      <c r="H283" s="828"/>
      <c r="I283" s="634">
        <f t="shared" si="20"/>
        <v>251001</v>
      </c>
      <c r="J283" s="822">
        <f t="shared" si="21"/>
        <v>0</v>
      </c>
    </row>
    <row r="284" spans="1:10" x14ac:dyDescent="0.25">
      <c r="A284" s="1079">
        <v>25100101</v>
      </c>
      <c r="B284" s="1079" t="s">
        <v>1449</v>
      </c>
      <c r="E284" s="1167"/>
      <c r="F284" s="1167"/>
      <c r="G284" s="1168"/>
      <c r="H284" s="828"/>
      <c r="I284" s="634">
        <f t="shared" si="20"/>
        <v>25100101</v>
      </c>
      <c r="J284" s="822">
        <f t="shared" si="21"/>
        <v>0</v>
      </c>
    </row>
    <row r="285" spans="1:10" x14ac:dyDescent="0.25">
      <c r="A285" s="634">
        <v>26</v>
      </c>
      <c r="B285" s="634" t="s">
        <v>842</v>
      </c>
      <c r="C285" s="795">
        <v>98364900</v>
      </c>
      <c r="E285" s="1167">
        <v>26</v>
      </c>
      <c r="F285" s="1167" t="s">
        <v>842</v>
      </c>
      <c r="G285" s="1168">
        <v>98364900</v>
      </c>
      <c r="H285" s="828"/>
      <c r="I285" s="634">
        <f t="shared" si="20"/>
        <v>0</v>
      </c>
      <c r="J285" s="822">
        <f t="shared" si="21"/>
        <v>0</v>
      </c>
    </row>
    <row r="286" spans="1:10" x14ac:dyDescent="0.25">
      <c r="A286" s="634">
        <v>2610</v>
      </c>
      <c r="B286" s="634" t="s">
        <v>843</v>
      </c>
      <c r="C286" s="795">
        <v>0</v>
      </c>
      <c r="E286" s="1167">
        <v>2610</v>
      </c>
      <c r="F286" s="1167" t="s">
        <v>843</v>
      </c>
      <c r="G286" s="1168">
        <v>0</v>
      </c>
      <c r="H286" s="828"/>
      <c r="I286" s="634">
        <f t="shared" si="20"/>
        <v>0</v>
      </c>
      <c r="J286" s="822">
        <f t="shared" si="21"/>
        <v>0</v>
      </c>
    </row>
    <row r="287" spans="1:10" x14ac:dyDescent="0.25">
      <c r="A287" s="634">
        <v>261005</v>
      </c>
      <c r="B287" s="634" t="s">
        <v>844</v>
      </c>
      <c r="C287" s="795">
        <v>0</v>
      </c>
      <c r="E287" s="1167">
        <v>261005</v>
      </c>
      <c r="F287" s="1167" t="s">
        <v>844</v>
      </c>
      <c r="G287" s="1168">
        <v>0</v>
      </c>
      <c r="H287" s="828"/>
      <c r="I287" s="634">
        <f t="shared" si="20"/>
        <v>0</v>
      </c>
      <c r="J287" s="822">
        <f t="shared" si="21"/>
        <v>0</v>
      </c>
    </row>
    <row r="288" spans="1:10" x14ac:dyDescent="0.25">
      <c r="A288" s="634">
        <v>26100501</v>
      </c>
      <c r="B288" s="634" t="s">
        <v>845</v>
      </c>
      <c r="C288" s="795">
        <v>0</v>
      </c>
      <c r="E288" s="1167">
        <v>26100501</v>
      </c>
      <c r="F288" s="1167" t="s">
        <v>845</v>
      </c>
      <c r="G288" s="1168">
        <v>0</v>
      </c>
      <c r="H288" s="828"/>
      <c r="I288" s="634">
        <f t="shared" si="20"/>
        <v>0</v>
      </c>
      <c r="J288" s="822">
        <f t="shared" si="21"/>
        <v>0</v>
      </c>
    </row>
    <row r="289" spans="1:10" x14ac:dyDescent="0.25">
      <c r="A289" s="634">
        <v>262535</v>
      </c>
      <c r="B289" s="634" t="s">
        <v>846</v>
      </c>
      <c r="E289" s="1167"/>
      <c r="F289" s="1167"/>
      <c r="G289" s="1168"/>
      <c r="H289" s="828"/>
      <c r="I289" s="634">
        <f t="shared" si="20"/>
        <v>262535</v>
      </c>
      <c r="J289" s="822">
        <f t="shared" si="21"/>
        <v>0</v>
      </c>
    </row>
    <row r="290" spans="1:10" x14ac:dyDescent="0.25">
      <c r="A290" s="634">
        <v>26253501</v>
      </c>
      <c r="B290" s="634" t="s">
        <v>847</v>
      </c>
      <c r="E290" s="1167"/>
      <c r="F290" s="1167"/>
      <c r="G290" s="1168"/>
      <c r="H290" s="828"/>
      <c r="I290" s="634">
        <f t="shared" si="20"/>
        <v>26253501</v>
      </c>
      <c r="J290" s="822">
        <f t="shared" si="21"/>
        <v>0</v>
      </c>
    </row>
    <row r="291" spans="1:10" x14ac:dyDescent="0.25">
      <c r="A291" s="634">
        <v>2648</v>
      </c>
      <c r="B291" s="634" t="s">
        <v>848</v>
      </c>
      <c r="C291" s="795">
        <v>98364900</v>
      </c>
      <c r="E291" s="1167">
        <v>2648</v>
      </c>
      <c r="F291" s="1167" t="s">
        <v>848</v>
      </c>
      <c r="G291" s="1168">
        <v>98364900</v>
      </c>
      <c r="H291" s="828"/>
      <c r="I291" s="634">
        <f t="shared" si="20"/>
        <v>0</v>
      </c>
      <c r="J291" s="822">
        <f t="shared" si="21"/>
        <v>0</v>
      </c>
    </row>
    <row r="292" spans="1:10" x14ac:dyDescent="0.25">
      <c r="A292" s="634">
        <v>264805</v>
      </c>
      <c r="B292" s="634" t="s">
        <v>1312</v>
      </c>
      <c r="C292" s="795">
        <v>98364900</v>
      </c>
      <c r="E292" s="1167">
        <v>264805</v>
      </c>
      <c r="F292" s="1167" t="s">
        <v>1312</v>
      </c>
      <c r="G292" s="1168">
        <v>98364900</v>
      </c>
      <c r="H292" s="828"/>
      <c r="I292" s="634">
        <f t="shared" si="20"/>
        <v>0</v>
      </c>
      <c r="J292" s="822">
        <f t="shared" si="21"/>
        <v>0</v>
      </c>
    </row>
    <row r="293" spans="1:10" x14ac:dyDescent="0.25">
      <c r="A293" s="634">
        <v>26480502</v>
      </c>
      <c r="B293" s="634" t="s">
        <v>1313</v>
      </c>
      <c r="C293" s="795">
        <v>98364900</v>
      </c>
      <c r="E293" s="1167">
        <v>26480502</v>
      </c>
      <c r="F293" s="1167" t="s">
        <v>1313</v>
      </c>
      <c r="G293" s="1168">
        <v>98364900</v>
      </c>
      <c r="H293" s="828"/>
      <c r="I293" s="634">
        <f t="shared" si="20"/>
        <v>0</v>
      </c>
      <c r="J293" s="822">
        <f t="shared" si="21"/>
        <v>0</v>
      </c>
    </row>
    <row r="294" spans="1:10" x14ac:dyDescent="0.25">
      <c r="A294" s="634">
        <v>27</v>
      </c>
      <c r="B294" s="634" t="s">
        <v>40</v>
      </c>
      <c r="C294" s="795">
        <v>208079521.27000001</v>
      </c>
      <c r="E294" s="1167">
        <v>27</v>
      </c>
      <c r="F294" s="1167" t="s">
        <v>40</v>
      </c>
      <c r="G294" s="1168">
        <v>208079521.27000001</v>
      </c>
      <c r="H294" s="828"/>
      <c r="I294" s="634">
        <f t="shared" si="20"/>
        <v>0</v>
      </c>
      <c r="J294" s="822">
        <f t="shared" si="21"/>
        <v>0</v>
      </c>
    </row>
    <row r="295" spans="1:10" x14ac:dyDescent="0.25">
      <c r="A295" s="634">
        <v>2710</v>
      </c>
      <c r="B295" s="634" t="s">
        <v>1057</v>
      </c>
      <c r="C295" s="795">
        <v>75297026.200000003</v>
      </c>
      <c r="E295" s="1167">
        <v>2710</v>
      </c>
      <c r="F295" s="1167" t="s">
        <v>1057</v>
      </c>
      <c r="G295" s="1168">
        <v>75297026.200000003</v>
      </c>
      <c r="H295" s="828"/>
      <c r="I295" s="634">
        <f t="shared" si="20"/>
        <v>0</v>
      </c>
      <c r="J295" s="822">
        <f t="shared" si="21"/>
        <v>0</v>
      </c>
    </row>
    <row r="296" spans="1:10" x14ac:dyDescent="0.25">
      <c r="A296" s="634">
        <v>271010</v>
      </c>
      <c r="B296" s="634" t="s">
        <v>1058</v>
      </c>
      <c r="C296" s="795">
        <v>60914800</v>
      </c>
      <c r="E296" s="1167">
        <v>271010</v>
      </c>
      <c r="F296" s="1167" t="s">
        <v>1058</v>
      </c>
      <c r="G296" s="1168">
        <v>60914800</v>
      </c>
      <c r="H296" s="828"/>
      <c r="I296" s="634">
        <f t="shared" si="20"/>
        <v>0</v>
      </c>
      <c r="J296" s="822">
        <f t="shared" si="21"/>
        <v>0</v>
      </c>
    </row>
    <row r="297" spans="1:10" x14ac:dyDescent="0.25">
      <c r="A297" s="634">
        <v>27101001</v>
      </c>
      <c r="B297" s="634" t="s">
        <v>1059</v>
      </c>
      <c r="C297" s="795">
        <v>60914800</v>
      </c>
      <c r="E297" s="1167">
        <v>27101001</v>
      </c>
      <c r="F297" s="1167" t="s">
        <v>1059</v>
      </c>
      <c r="G297" s="1168">
        <v>60914800</v>
      </c>
      <c r="H297" s="828"/>
      <c r="I297" s="634">
        <f t="shared" si="20"/>
        <v>0</v>
      </c>
      <c r="J297" s="822">
        <f t="shared" si="21"/>
        <v>0</v>
      </c>
    </row>
    <row r="298" spans="1:10" x14ac:dyDescent="0.25">
      <c r="A298" s="634">
        <v>271015</v>
      </c>
      <c r="B298" s="634" t="s">
        <v>849</v>
      </c>
      <c r="C298" s="795">
        <v>8220360</v>
      </c>
      <c r="E298" s="1167">
        <v>271015</v>
      </c>
      <c r="F298" s="1167" t="s">
        <v>849</v>
      </c>
      <c r="G298" s="1168">
        <v>8220360</v>
      </c>
      <c r="H298" s="828"/>
      <c r="I298" s="634">
        <f t="shared" si="20"/>
        <v>0</v>
      </c>
      <c r="J298" s="822">
        <f t="shared" si="21"/>
        <v>0</v>
      </c>
    </row>
    <row r="299" spans="1:10" x14ac:dyDescent="0.25">
      <c r="A299" s="634">
        <v>27101501</v>
      </c>
      <c r="B299" s="634" t="s">
        <v>850</v>
      </c>
      <c r="C299" s="795">
        <v>8220360</v>
      </c>
      <c r="E299" s="1167">
        <v>27101501</v>
      </c>
      <c r="F299" s="1167" t="s">
        <v>850</v>
      </c>
      <c r="G299" s="1168">
        <v>8220360</v>
      </c>
      <c r="H299" s="828"/>
      <c r="I299" s="634">
        <f t="shared" si="20"/>
        <v>0</v>
      </c>
      <c r="J299" s="822">
        <f t="shared" si="21"/>
        <v>0</v>
      </c>
    </row>
    <row r="300" spans="1:10" x14ac:dyDescent="0.25">
      <c r="A300" s="634">
        <v>271025</v>
      </c>
      <c r="B300" s="634" t="s">
        <v>1060</v>
      </c>
      <c r="C300" s="795">
        <v>6161866.2000000002</v>
      </c>
      <c r="E300" s="1167">
        <v>271025</v>
      </c>
      <c r="F300" s="1167" t="s">
        <v>1060</v>
      </c>
      <c r="G300" s="1168">
        <v>6161866.2000000002</v>
      </c>
      <c r="H300" s="828"/>
      <c r="I300" s="634">
        <f t="shared" ref="I300:I314" si="22">+A300-E300</f>
        <v>0</v>
      </c>
      <c r="J300" s="822">
        <f t="shared" ref="J300:J314" si="23">+C300-G300</f>
        <v>0</v>
      </c>
    </row>
    <row r="301" spans="1:10" x14ac:dyDescent="0.25">
      <c r="A301" s="634">
        <v>27102501</v>
      </c>
      <c r="B301" s="634" t="s">
        <v>851</v>
      </c>
      <c r="C301" s="795">
        <v>6161866.2000000002</v>
      </c>
      <c r="E301" s="1167">
        <v>27102501</v>
      </c>
      <c r="F301" s="1167" t="s">
        <v>851</v>
      </c>
      <c r="G301" s="1168">
        <v>6161866.2000000002</v>
      </c>
      <c r="H301" s="828"/>
      <c r="I301" s="634">
        <f t="shared" si="22"/>
        <v>0</v>
      </c>
      <c r="J301" s="822">
        <f t="shared" si="23"/>
        <v>0</v>
      </c>
    </row>
    <row r="302" spans="1:10" x14ac:dyDescent="0.25">
      <c r="A302" s="634">
        <v>2725</v>
      </c>
      <c r="B302" s="634" t="s">
        <v>852</v>
      </c>
      <c r="C302" s="795">
        <v>1720661</v>
      </c>
      <c r="E302" s="1167">
        <v>2725</v>
      </c>
      <c r="F302" s="1167" t="s">
        <v>852</v>
      </c>
      <c r="G302" s="1168">
        <v>1720661</v>
      </c>
      <c r="H302" s="828"/>
      <c r="I302" s="634">
        <f t="shared" si="22"/>
        <v>0</v>
      </c>
      <c r="J302" s="822">
        <f t="shared" si="23"/>
        <v>0</v>
      </c>
    </row>
    <row r="303" spans="1:10" x14ac:dyDescent="0.25">
      <c r="A303" s="634">
        <v>272505</v>
      </c>
      <c r="B303" s="634" t="s">
        <v>175</v>
      </c>
      <c r="C303" s="795">
        <v>1720661</v>
      </c>
      <c r="E303" s="1167">
        <v>272505</v>
      </c>
      <c r="F303" s="1167" t="s">
        <v>175</v>
      </c>
      <c r="G303" s="1168">
        <v>1720661</v>
      </c>
      <c r="H303" s="828"/>
      <c r="I303" s="634">
        <f t="shared" si="22"/>
        <v>0</v>
      </c>
      <c r="J303" s="822">
        <f t="shared" si="23"/>
        <v>0</v>
      </c>
    </row>
    <row r="304" spans="1:10" x14ac:dyDescent="0.25">
      <c r="A304" s="634">
        <v>27250501</v>
      </c>
      <c r="B304" s="634" t="s">
        <v>853</v>
      </c>
      <c r="C304" s="795">
        <v>1720661</v>
      </c>
      <c r="E304" s="1167">
        <v>27250501</v>
      </c>
      <c r="F304" s="1167" t="s">
        <v>853</v>
      </c>
      <c r="G304" s="1168">
        <v>1720661</v>
      </c>
      <c r="H304" s="828"/>
      <c r="I304" s="634">
        <f t="shared" si="22"/>
        <v>0</v>
      </c>
      <c r="J304" s="822">
        <f t="shared" si="23"/>
        <v>0</v>
      </c>
    </row>
    <row r="305" spans="1:10" x14ac:dyDescent="0.25">
      <c r="A305" s="634">
        <v>2740</v>
      </c>
      <c r="B305" s="634" t="s">
        <v>854</v>
      </c>
      <c r="C305" s="795">
        <v>33028053.07</v>
      </c>
      <c r="E305" s="1167">
        <v>2740</v>
      </c>
      <c r="F305" s="1167" t="s">
        <v>854</v>
      </c>
      <c r="G305" s="1168">
        <v>33028053.07</v>
      </c>
      <c r="H305" s="828"/>
      <c r="I305" s="634">
        <f t="shared" si="22"/>
        <v>0</v>
      </c>
      <c r="J305" s="822">
        <f t="shared" si="23"/>
        <v>0</v>
      </c>
    </row>
    <row r="306" spans="1:10" x14ac:dyDescent="0.25">
      <c r="A306" s="1155">
        <v>274005</v>
      </c>
      <c r="B306" s="1155" t="s">
        <v>1529</v>
      </c>
      <c r="C306" s="795">
        <v>33028053.07</v>
      </c>
      <c r="E306" s="1167">
        <v>274005</v>
      </c>
      <c r="F306" s="1167" t="s">
        <v>1529</v>
      </c>
      <c r="G306" s="1168">
        <v>33028053.07</v>
      </c>
      <c r="H306" s="828"/>
      <c r="I306" s="634">
        <f t="shared" si="22"/>
        <v>0</v>
      </c>
      <c r="J306" s="822">
        <f t="shared" si="23"/>
        <v>0</v>
      </c>
    </row>
    <row r="307" spans="1:10" x14ac:dyDescent="0.25">
      <c r="A307" s="634">
        <v>2795</v>
      </c>
      <c r="B307" s="634" t="s">
        <v>115</v>
      </c>
      <c r="C307" s="795">
        <v>98033781</v>
      </c>
      <c r="E307" s="1167">
        <v>2795</v>
      </c>
      <c r="F307" s="1167" t="s">
        <v>115</v>
      </c>
      <c r="G307" s="1168">
        <v>98033781</v>
      </c>
      <c r="H307" s="828"/>
      <c r="I307" s="634">
        <f t="shared" si="22"/>
        <v>0</v>
      </c>
      <c r="J307" s="822">
        <f t="shared" si="23"/>
        <v>0</v>
      </c>
    </row>
    <row r="308" spans="1:10" x14ac:dyDescent="0.25">
      <c r="A308" s="634">
        <v>279505</v>
      </c>
      <c r="B308" s="634" t="s">
        <v>855</v>
      </c>
      <c r="C308" s="795">
        <v>98033781</v>
      </c>
      <c r="E308" s="1167">
        <v>279505</v>
      </c>
      <c r="F308" s="1167" t="s">
        <v>855</v>
      </c>
      <c r="G308" s="1168">
        <v>98033781</v>
      </c>
      <c r="H308" s="828"/>
      <c r="I308" s="634">
        <f t="shared" si="22"/>
        <v>0</v>
      </c>
      <c r="J308" s="822">
        <f t="shared" si="23"/>
        <v>0</v>
      </c>
    </row>
    <row r="309" spans="1:10" x14ac:dyDescent="0.25">
      <c r="A309" s="634">
        <v>27950501</v>
      </c>
      <c r="B309" s="634" t="s">
        <v>856</v>
      </c>
      <c r="C309" s="795">
        <v>98033781</v>
      </c>
      <c r="E309" s="1167">
        <v>27950501</v>
      </c>
      <c r="F309" s="1167" t="s">
        <v>856</v>
      </c>
      <c r="G309" s="1168">
        <v>98033781</v>
      </c>
      <c r="H309" s="828"/>
      <c r="I309" s="634">
        <f t="shared" si="22"/>
        <v>0</v>
      </c>
      <c r="J309" s="822">
        <f t="shared" si="23"/>
        <v>0</v>
      </c>
    </row>
    <row r="310" spans="1:10" x14ac:dyDescent="0.25">
      <c r="A310" s="995">
        <v>28</v>
      </c>
      <c r="B310" s="995" t="s">
        <v>39</v>
      </c>
      <c r="C310" s="795">
        <v>593439787.91999996</v>
      </c>
      <c r="E310" s="1167">
        <v>28</v>
      </c>
      <c r="F310" s="1167" t="s">
        <v>39</v>
      </c>
      <c r="G310" s="1168">
        <v>593439787.91999996</v>
      </c>
      <c r="H310" s="828"/>
      <c r="I310" s="634">
        <f t="shared" si="22"/>
        <v>0</v>
      </c>
      <c r="J310" s="822">
        <f t="shared" si="23"/>
        <v>0</v>
      </c>
    </row>
    <row r="311" spans="1:10" x14ac:dyDescent="0.25">
      <c r="A311" s="995">
        <v>2805</v>
      </c>
      <c r="B311" s="995" t="s">
        <v>175</v>
      </c>
      <c r="C311" s="795">
        <v>593439787.91999996</v>
      </c>
      <c r="E311" s="1167">
        <v>2805</v>
      </c>
      <c r="F311" s="1167" t="s">
        <v>175</v>
      </c>
      <c r="G311" s="1168">
        <v>593439787.91999996</v>
      </c>
      <c r="H311" s="828"/>
      <c r="I311" s="634">
        <f t="shared" si="22"/>
        <v>0</v>
      </c>
      <c r="J311" s="822">
        <f t="shared" si="23"/>
        <v>0</v>
      </c>
    </row>
    <row r="312" spans="1:10" x14ac:dyDescent="0.25">
      <c r="A312" s="995">
        <v>280510</v>
      </c>
      <c r="B312" s="995" t="s">
        <v>857</v>
      </c>
      <c r="C312" s="795">
        <v>569545456.91999996</v>
      </c>
      <c r="E312" s="1167">
        <v>280510</v>
      </c>
      <c r="F312" s="1167" t="s">
        <v>857</v>
      </c>
      <c r="G312" s="1168">
        <v>569545456.91999996</v>
      </c>
      <c r="H312" s="828"/>
      <c r="I312" s="634">
        <f t="shared" si="22"/>
        <v>0</v>
      </c>
      <c r="J312" s="822">
        <f t="shared" si="23"/>
        <v>0</v>
      </c>
    </row>
    <row r="313" spans="1:10" x14ac:dyDescent="0.25">
      <c r="A313" s="995">
        <v>28051001</v>
      </c>
      <c r="B313" s="995" t="s">
        <v>858</v>
      </c>
      <c r="C313" s="795">
        <v>569545456.91999996</v>
      </c>
      <c r="D313" s="1083">
        <f>+C1-C177-C318</f>
        <v>601693056.98000336</v>
      </c>
      <c r="E313" s="1167">
        <v>28051001</v>
      </c>
      <c r="F313" s="1167" t="s">
        <v>858</v>
      </c>
      <c r="G313" s="1168">
        <v>569545456.91999996</v>
      </c>
      <c r="H313" s="828"/>
      <c r="I313" s="634">
        <f t="shared" si="22"/>
        <v>0</v>
      </c>
      <c r="J313" s="822">
        <f t="shared" si="23"/>
        <v>0</v>
      </c>
    </row>
    <row r="314" spans="1:10" x14ac:dyDescent="0.25">
      <c r="A314" s="995">
        <v>280515</v>
      </c>
      <c r="B314" s="995" t="s">
        <v>859</v>
      </c>
      <c r="C314" s="795">
        <v>23894331</v>
      </c>
      <c r="E314" s="1167">
        <v>280515</v>
      </c>
      <c r="F314" s="1167" t="s">
        <v>859</v>
      </c>
      <c r="G314" s="1168">
        <v>23894331</v>
      </c>
      <c r="H314" s="828"/>
      <c r="I314" s="634">
        <f t="shared" si="22"/>
        <v>0</v>
      </c>
      <c r="J314" s="822">
        <f t="shared" si="23"/>
        <v>0</v>
      </c>
    </row>
    <row r="315" spans="1:10" x14ac:dyDescent="0.25">
      <c r="A315" s="995">
        <v>28051501</v>
      </c>
      <c r="B315" s="995" t="s">
        <v>860</v>
      </c>
      <c r="C315" s="795">
        <v>23894331</v>
      </c>
      <c r="E315" s="1167">
        <v>28051501</v>
      </c>
      <c r="F315" s="1167" t="s">
        <v>860</v>
      </c>
      <c r="G315" s="1168">
        <v>23894331</v>
      </c>
      <c r="H315" s="828"/>
      <c r="I315" s="634">
        <f t="shared" ref="I315:I378" si="24">+A315-E315</f>
        <v>0</v>
      </c>
      <c r="J315" s="822">
        <f t="shared" ref="J315:J378" si="25">+C315-G315</f>
        <v>0</v>
      </c>
    </row>
    <row r="316" spans="1:10" x14ac:dyDescent="0.25">
      <c r="A316" s="634">
        <v>280520</v>
      </c>
      <c r="B316" s="634" t="s">
        <v>807</v>
      </c>
      <c r="C316" s="795">
        <v>0</v>
      </c>
      <c r="E316" s="1167">
        <v>280520</v>
      </c>
      <c r="F316" s="1167" t="s">
        <v>807</v>
      </c>
      <c r="G316" s="1168">
        <v>0</v>
      </c>
      <c r="H316" s="828"/>
      <c r="I316" s="634">
        <f t="shared" si="24"/>
        <v>0</v>
      </c>
      <c r="J316" s="822">
        <f t="shared" si="25"/>
        <v>0</v>
      </c>
    </row>
    <row r="317" spans="1:10" x14ac:dyDescent="0.25">
      <c r="A317" s="634">
        <v>28052002</v>
      </c>
      <c r="B317" s="634" t="s">
        <v>861</v>
      </c>
      <c r="C317" s="795">
        <v>0</v>
      </c>
      <c r="E317" s="1167">
        <v>28052002</v>
      </c>
      <c r="F317" s="1167" t="s">
        <v>861</v>
      </c>
      <c r="G317" s="1168">
        <v>0</v>
      </c>
      <c r="H317" s="828"/>
      <c r="I317" s="634">
        <f t="shared" si="24"/>
        <v>0</v>
      </c>
      <c r="J317" s="822">
        <f t="shared" si="25"/>
        <v>0</v>
      </c>
    </row>
    <row r="318" spans="1:10" x14ac:dyDescent="0.25">
      <c r="A318" s="634">
        <v>3</v>
      </c>
      <c r="B318" s="634" t="s">
        <v>185</v>
      </c>
      <c r="C318" s="795">
        <v>6605223429.5699997</v>
      </c>
      <c r="E318" s="1167">
        <v>3</v>
      </c>
      <c r="F318" s="1167" t="s">
        <v>185</v>
      </c>
      <c r="G318" s="1168">
        <v>6605223429.5699997</v>
      </c>
      <c r="H318" s="828"/>
      <c r="I318" s="634">
        <f t="shared" si="24"/>
        <v>0</v>
      </c>
      <c r="J318" s="822">
        <f t="shared" si="25"/>
        <v>0</v>
      </c>
    </row>
    <row r="319" spans="1:10" x14ac:dyDescent="0.25">
      <c r="A319" s="634">
        <v>31</v>
      </c>
      <c r="B319" s="634" t="s">
        <v>863</v>
      </c>
      <c r="C319" s="795">
        <v>2690441418</v>
      </c>
      <c r="E319" s="1167">
        <v>31</v>
      </c>
      <c r="F319" s="1167" t="s">
        <v>863</v>
      </c>
      <c r="G319" s="1168">
        <v>2690441418</v>
      </c>
      <c r="H319" s="828"/>
      <c r="I319" s="634">
        <f t="shared" si="24"/>
        <v>0</v>
      </c>
      <c r="J319" s="822">
        <f t="shared" si="25"/>
        <v>0</v>
      </c>
    </row>
    <row r="320" spans="1:10" x14ac:dyDescent="0.25">
      <c r="A320" s="634">
        <v>3105</v>
      </c>
      <c r="B320" s="634" t="s">
        <v>41</v>
      </c>
      <c r="C320" s="795">
        <v>2690441418</v>
      </c>
      <c r="E320" s="1167">
        <v>3105</v>
      </c>
      <c r="F320" s="1167" t="s">
        <v>41</v>
      </c>
      <c r="G320" s="1168">
        <v>2690441418</v>
      </c>
      <c r="H320" s="828"/>
      <c r="I320" s="634">
        <f t="shared" si="24"/>
        <v>0</v>
      </c>
      <c r="J320" s="822">
        <f t="shared" si="25"/>
        <v>0</v>
      </c>
    </row>
    <row r="321" spans="1:10" x14ac:dyDescent="0.25">
      <c r="A321" s="634">
        <v>310505</v>
      </c>
      <c r="B321" s="634" t="s">
        <v>864</v>
      </c>
      <c r="C321" s="795">
        <v>2690441418</v>
      </c>
      <c r="E321" s="1167">
        <v>310505</v>
      </c>
      <c r="F321" s="1167" t="s">
        <v>864</v>
      </c>
      <c r="G321" s="1168">
        <v>2690441418</v>
      </c>
      <c r="H321" s="828"/>
      <c r="I321" s="634">
        <f t="shared" si="24"/>
        <v>0</v>
      </c>
      <c r="J321" s="822">
        <f t="shared" si="25"/>
        <v>0</v>
      </c>
    </row>
    <row r="322" spans="1:10" x14ac:dyDescent="0.25">
      <c r="A322" s="634">
        <v>31050501</v>
      </c>
      <c r="B322" s="634" t="s">
        <v>537</v>
      </c>
      <c r="C322" s="795">
        <v>2690441418</v>
      </c>
      <c r="E322" s="1167">
        <v>31050501</v>
      </c>
      <c r="F322" s="1167" t="s">
        <v>537</v>
      </c>
      <c r="G322" s="1168">
        <v>2690441418</v>
      </c>
      <c r="H322" s="828"/>
      <c r="I322" s="634">
        <f t="shared" si="24"/>
        <v>0</v>
      </c>
      <c r="J322" s="822">
        <f t="shared" si="25"/>
        <v>0</v>
      </c>
    </row>
    <row r="323" spans="1:10" x14ac:dyDescent="0.25">
      <c r="A323" s="634">
        <v>32</v>
      </c>
      <c r="B323" s="634" t="s">
        <v>865</v>
      </c>
      <c r="C323" s="795">
        <v>1954993667.6500001</v>
      </c>
      <c r="E323" s="1167">
        <v>32</v>
      </c>
      <c r="F323" s="1167" t="s">
        <v>865</v>
      </c>
      <c r="G323" s="1168">
        <v>1954993667.6500001</v>
      </c>
      <c r="H323" s="828"/>
      <c r="I323" s="634">
        <f t="shared" si="24"/>
        <v>0</v>
      </c>
      <c r="J323" s="822">
        <f t="shared" si="25"/>
        <v>0</v>
      </c>
    </row>
    <row r="324" spans="1:10" x14ac:dyDescent="0.25">
      <c r="A324" s="634">
        <v>3205</v>
      </c>
      <c r="B324" s="634" t="s">
        <v>866</v>
      </c>
      <c r="C324" s="795">
        <v>1046140934.11</v>
      </c>
      <c r="E324" s="1167">
        <v>3205</v>
      </c>
      <c r="F324" s="1167" t="s">
        <v>866</v>
      </c>
      <c r="G324" s="1168">
        <v>1046140934.11</v>
      </c>
      <c r="H324" s="828"/>
      <c r="I324" s="634">
        <f t="shared" si="24"/>
        <v>0</v>
      </c>
      <c r="J324" s="822">
        <f t="shared" si="25"/>
        <v>0</v>
      </c>
    </row>
    <row r="325" spans="1:10" x14ac:dyDescent="0.25">
      <c r="A325" s="634">
        <v>320505</v>
      </c>
      <c r="B325" s="634" t="s">
        <v>42</v>
      </c>
      <c r="C325" s="795">
        <v>1046140934.11</v>
      </c>
      <c r="E325" s="1167">
        <v>320505</v>
      </c>
      <c r="F325" s="1167" t="s">
        <v>42</v>
      </c>
      <c r="G325" s="1168">
        <v>1046140934.11</v>
      </c>
      <c r="H325" s="828"/>
      <c r="I325" s="634">
        <f t="shared" si="24"/>
        <v>0</v>
      </c>
      <c r="J325" s="822">
        <f t="shared" si="25"/>
        <v>0</v>
      </c>
    </row>
    <row r="326" spans="1:10" x14ac:dyDescent="0.25">
      <c r="A326" s="634">
        <v>32050501</v>
      </c>
      <c r="B326" s="634" t="s">
        <v>867</v>
      </c>
      <c r="C326" s="795">
        <v>1046140934.11</v>
      </c>
      <c r="E326" s="1167">
        <v>32050501</v>
      </c>
      <c r="F326" s="1167" t="s">
        <v>867</v>
      </c>
      <c r="G326" s="1168">
        <v>1046140934.11</v>
      </c>
      <c r="H326" s="828"/>
      <c r="I326" s="634">
        <f t="shared" si="24"/>
        <v>0</v>
      </c>
      <c r="J326" s="822">
        <f t="shared" si="25"/>
        <v>0</v>
      </c>
    </row>
    <row r="327" spans="1:10" x14ac:dyDescent="0.25">
      <c r="A327" s="634">
        <v>3225</v>
      </c>
      <c r="B327" s="634" t="s">
        <v>43</v>
      </c>
      <c r="C327" s="795">
        <v>908852733.53999996</v>
      </c>
      <c r="E327" s="1167">
        <v>3225</v>
      </c>
      <c r="F327" s="1167" t="s">
        <v>43</v>
      </c>
      <c r="G327" s="1168">
        <v>908852733.53999996</v>
      </c>
      <c r="H327" s="828"/>
      <c r="I327" s="634">
        <f t="shared" si="24"/>
        <v>0</v>
      </c>
      <c r="J327" s="822">
        <f t="shared" si="25"/>
        <v>0</v>
      </c>
    </row>
    <row r="328" spans="1:10" x14ac:dyDescent="0.25">
      <c r="A328" s="634">
        <v>322505</v>
      </c>
      <c r="B328" s="634" t="s">
        <v>868</v>
      </c>
      <c r="C328" s="795">
        <v>908852733.53999996</v>
      </c>
      <c r="E328" s="1167">
        <v>322505</v>
      </c>
      <c r="F328" s="1167" t="s">
        <v>868</v>
      </c>
      <c r="G328" s="1168">
        <v>908852733.53999996</v>
      </c>
      <c r="H328" s="828"/>
      <c r="I328" s="634">
        <f t="shared" si="24"/>
        <v>0</v>
      </c>
      <c r="J328" s="822">
        <f t="shared" si="25"/>
        <v>0</v>
      </c>
    </row>
    <row r="329" spans="1:10" x14ac:dyDescent="0.25">
      <c r="A329" s="634">
        <v>32250501</v>
      </c>
      <c r="B329" s="634" t="s">
        <v>869</v>
      </c>
      <c r="C329" s="795">
        <v>908852733.53999996</v>
      </c>
      <c r="E329" s="1167">
        <v>32250501</v>
      </c>
      <c r="F329" s="1167" t="s">
        <v>869</v>
      </c>
      <c r="G329" s="1168">
        <v>908852733.53999996</v>
      </c>
      <c r="H329" s="828"/>
      <c r="I329" s="634">
        <f t="shared" si="24"/>
        <v>0</v>
      </c>
      <c r="J329" s="822">
        <f t="shared" si="25"/>
        <v>0</v>
      </c>
    </row>
    <row r="330" spans="1:10" x14ac:dyDescent="0.25">
      <c r="A330" s="634">
        <v>33</v>
      </c>
      <c r="B330" s="634" t="s">
        <v>870</v>
      </c>
      <c r="C330" s="795">
        <v>394685648.92000002</v>
      </c>
      <c r="E330" s="1167">
        <v>33</v>
      </c>
      <c r="F330" s="1167" t="s">
        <v>870</v>
      </c>
      <c r="G330" s="1168">
        <v>394685648.92000002</v>
      </c>
      <c r="H330" s="828"/>
      <c r="I330" s="634">
        <f t="shared" si="24"/>
        <v>0</v>
      </c>
      <c r="J330" s="822">
        <f t="shared" si="25"/>
        <v>0</v>
      </c>
    </row>
    <row r="331" spans="1:10" x14ac:dyDescent="0.25">
      <c r="A331" s="634">
        <v>3330</v>
      </c>
      <c r="B331" s="634" t="s">
        <v>871</v>
      </c>
      <c r="C331" s="795">
        <v>321951746.92000002</v>
      </c>
      <c r="E331" s="1167">
        <v>3330</v>
      </c>
      <c r="F331" s="1167" t="s">
        <v>871</v>
      </c>
      <c r="G331" s="1168">
        <v>321951746.92000002</v>
      </c>
      <c r="H331" s="828"/>
      <c r="I331" s="634">
        <f t="shared" si="24"/>
        <v>0</v>
      </c>
      <c r="J331" s="822">
        <f t="shared" si="25"/>
        <v>0</v>
      </c>
    </row>
    <row r="332" spans="1:10" x14ac:dyDescent="0.25">
      <c r="A332" s="634">
        <v>333005</v>
      </c>
      <c r="B332" s="634" t="s">
        <v>871</v>
      </c>
      <c r="C332" s="795">
        <v>321951746.92000002</v>
      </c>
      <c r="E332" s="1167">
        <v>333005</v>
      </c>
      <c r="F332" s="1167" t="s">
        <v>871</v>
      </c>
      <c r="G332" s="1168">
        <v>321951746.92000002</v>
      </c>
      <c r="H332" s="828"/>
      <c r="I332" s="634">
        <f t="shared" si="24"/>
        <v>0</v>
      </c>
      <c r="J332" s="822">
        <f t="shared" si="25"/>
        <v>0</v>
      </c>
    </row>
    <row r="333" spans="1:10" x14ac:dyDescent="0.25">
      <c r="A333" s="634">
        <v>33300501</v>
      </c>
      <c r="B333" s="634" t="s">
        <v>872</v>
      </c>
      <c r="C333" s="795">
        <v>52427746.920000002</v>
      </c>
      <c r="E333" s="1167">
        <v>33300501</v>
      </c>
      <c r="F333" s="1167" t="s">
        <v>872</v>
      </c>
      <c r="G333" s="1168">
        <v>52427746.920000002</v>
      </c>
      <c r="H333" s="828"/>
      <c r="I333" s="634">
        <f t="shared" si="24"/>
        <v>0</v>
      </c>
      <c r="J333" s="822">
        <f t="shared" si="25"/>
        <v>0</v>
      </c>
    </row>
    <row r="334" spans="1:10" x14ac:dyDescent="0.25">
      <c r="A334" s="634">
        <v>33300502</v>
      </c>
      <c r="B334" s="634" t="s">
        <v>873</v>
      </c>
      <c r="C334" s="795">
        <v>269524000</v>
      </c>
      <c r="E334" s="1167">
        <v>33300502</v>
      </c>
      <c r="F334" s="1167" t="s">
        <v>873</v>
      </c>
      <c r="G334" s="1168">
        <v>269524000</v>
      </c>
      <c r="H334" s="828"/>
      <c r="I334" s="634">
        <f t="shared" si="24"/>
        <v>0</v>
      </c>
      <c r="J334" s="822">
        <f t="shared" si="25"/>
        <v>0</v>
      </c>
    </row>
    <row r="335" spans="1:10" x14ac:dyDescent="0.25">
      <c r="A335" s="634">
        <v>3340</v>
      </c>
      <c r="B335" s="634" t="s">
        <v>874</v>
      </c>
      <c r="C335" s="795">
        <v>72733902</v>
      </c>
      <c r="E335" s="1167">
        <v>3340</v>
      </c>
      <c r="F335" s="1167" t="s">
        <v>874</v>
      </c>
      <c r="G335" s="1168">
        <v>72733902</v>
      </c>
      <c r="H335" s="828"/>
      <c r="I335" s="634">
        <f t="shared" si="24"/>
        <v>0</v>
      </c>
      <c r="J335" s="822">
        <f t="shared" si="25"/>
        <v>0</v>
      </c>
    </row>
    <row r="336" spans="1:10" x14ac:dyDescent="0.25">
      <c r="A336" s="634">
        <v>334005</v>
      </c>
      <c r="B336" s="634" t="s">
        <v>875</v>
      </c>
      <c r="C336" s="795">
        <v>72733902</v>
      </c>
      <c r="E336" s="1167">
        <v>334005</v>
      </c>
      <c r="F336" s="1167" t="s">
        <v>875</v>
      </c>
      <c r="G336" s="1168">
        <v>72733902</v>
      </c>
      <c r="H336" s="828"/>
      <c r="I336" s="634">
        <f t="shared" si="24"/>
        <v>0</v>
      </c>
      <c r="J336" s="822">
        <f t="shared" si="25"/>
        <v>0</v>
      </c>
    </row>
    <row r="337" spans="1:10" x14ac:dyDescent="0.25">
      <c r="A337" s="634">
        <v>33400501</v>
      </c>
      <c r="B337" s="634" t="s">
        <v>876</v>
      </c>
      <c r="C337" s="795">
        <v>36189684</v>
      </c>
      <c r="E337" s="1167">
        <v>33400501</v>
      </c>
      <c r="F337" s="1167" t="s">
        <v>876</v>
      </c>
      <c r="G337" s="1168">
        <v>36189684</v>
      </c>
      <c r="H337" s="828"/>
      <c r="I337" s="634">
        <f t="shared" si="24"/>
        <v>0</v>
      </c>
      <c r="J337" s="822">
        <f t="shared" si="25"/>
        <v>0</v>
      </c>
    </row>
    <row r="338" spans="1:10" x14ac:dyDescent="0.25">
      <c r="A338" s="634">
        <v>33400502</v>
      </c>
      <c r="B338" s="634" t="s">
        <v>877</v>
      </c>
      <c r="C338" s="795">
        <v>36544218</v>
      </c>
      <c r="E338" s="1167">
        <v>33400502</v>
      </c>
      <c r="F338" s="1167" t="s">
        <v>877</v>
      </c>
      <c r="G338" s="1168">
        <v>36544218</v>
      </c>
      <c r="H338" s="828"/>
      <c r="I338" s="634">
        <f t="shared" si="24"/>
        <v>0</v>
      </c>
      <c r="J338" s="822">
        <f t="shared" si="25"/>
        <v>0</v>
      </c>
    </row>
    <row r="339" spans="1:10" x14ac:dyDescent="0.25">
      <c r="A339" s="994">
        <v>37</v>
      </c>
      <c r="B339" s="994" t="s">
        <v>1393</v>
      </c>
      <c r="C339" s="795">
        <v>1565102695</v>
      </c>
      <c r="E339" s="1167">
        <v>37</v>
      </c>
      <c r="F339" s="1167" t="s">
        <v>1393</v>
      </c>
      <c r="G339" s="1168">
        <v>1565102695</v>
      </c>
      <c r="H339" s="828"/>
      <c r="I339" s="634">
        <f t="shared" si="24"/>
        <v>0</v>
      </c>
      <c r="J339" s="822">
        <f t="shared" si="25"/>
        <v>0</v>
      </c>
    </row>
    <row r="340" spans="1:10" x14ac:dyDescent="0.25">
      <c r="A340" s="994">
        <v>3735</v>
      </c>
      <c r="B340" s="994" t="s">
        <v>1393</v>
      </c>
      <c r="C340" s="795">
        <v>1040379822</v>
      </c>
      <c r="E340" s="1167">
        <v>3735</v>
      </c>
      <c r="F340" s="1167" t="s">
        <v>1393</v>
      </c>
      <c r="G340" s="1168">
        <v>1040379822</v>
      </c>
      <c r="H340" s="828"/>
      <c r="I340" s="634">
        <f t="shared" si="24"/>
        <v>0</v>
      </c>
      <c r="J340" s="822">
        <f t="shared" si="25"/>
        <v>0</v>
      </c>
    </row>
    <row r="341" spans="1:10" x14ac:dyDescent="0.25">
      <c r="A341" s="994">
        <v>373500</v>
      </c>
      <c r="B341" s="994" t="s">
        <v>1393</v>
      </c>
      <c r="C341" s="795">
        <v>1040379822</v>
      </c>
      <c r="E341" s="1167">
        <v>373500</v>
      </c>
      <c r="F341" s="1167" t="s">
        <v>1393</v>
      </c>
      <c r="G341" s="1168">
        <v>1040379822</v>
      </c>
      <c r="H341" s="828"/>
      <c r="I341" s="634">
        <f t="shared" si="24"/>
        <v>0</v>
      </c>
      <c r="J341" s="822">
        <f t="shared" si="25"/>
        <v>0</v>
      </c>
    </row>
    <row r="342" spans="1:10" x14ac:dyDescent="0.25">
      <c r="A342" s="994">
        <v>37350001</v>
      </c>
      <c r="B342" s="994" t="s">
        <v>1394</v>
      </c>
      <c r="C342" s="795">
        <v>318552865</v>
      </c>
      <c r="E342" s="1167">
        <v>37350001</v>
      </c>
      <c r="F342" s="1167" t="s">
        <v>1394</v>
      </c>
      <c r="G342" s="1168">
        <v>318552865</v>
      </c>
      <c r="H342" s="828"/>
      <c r="I342" s="634">
        <f t="shared" si="24"/>
        <v>0</v>
      </c>
      <c r="J342" s="822">
        <f t="shared" si="25"/>
        <v>0</v>
      </c>
    </row>
    <row r="343" spans="1:10" x14ac:dyDescent="0.25">
      <c r="A343" s="994">
        <v>37350002</v>
      </c>
      <c r="B343" s="994" t="s">
        <v>1395</v>
      </c>
      <c r="C343" s="795">
        <v>721826957</v>
      </c>
      <c r="E343" s="1167">
        <v>37350002</v>
      </c>
      <c r="F343" s="1167" t="s">
        <v>1395</v>
      </c>
      <c r="G343" s="1168">
        <v>721826957</v>
      </c>
      <c r="H343" s="828"/>
      <c r="I343" s="634">
        <f t="shared" si="24"/>
        <v>0</v>
      </c>
      <c r="J343" s="822">
        <f t="shared" si="25"/>
        <v>0</v>
      </c>
    </row>
    <row r="344" spans="1:10" x14ac:dyDescent="0.25">
      <c r="A344" s="994">
        <v>3745</v>
      </c>
      <c r="B344" s="994" t="s">
        <v>1396</v>
      </c>
      <c r="C344" s="795">
        <v>524722873</v>
      </c>
      <c r="E344" s="1167">
        <v>3745</v>
      </c>
      <c r="F344" s="1167" t="s">
        <v>1396</v>
      </c>
      <c r="G344" s="1168">
        <v>524722873</v>
      </c>
      <c r="H344" s="828"/>
      <c r="I344" s="634">
        <f t="shared" si="24"/>
        <v>0</v>
      </c>
      <c r="J344" s="822">
        <f t="shared" si="25"/>
        <v>0</v>
      </c>
    </row>
    <row r="345" spans="1:10" x14ac:dyDescent="0.25">
      <c r="A345" s="994">
        <v>374505</v>
      </c>
      <c r="B345" s="994" t="s">
        <v>1396</v>
      </c>
      <c r="C345" s="795">
        <v>524722873</v>
      </c>
      <c r="E345" s="1167">
        <v>374505</v>
      </c>
      <c r="F345" s="1167" t="s">
        <v>1396</v>
      </c>
      <c r="G345" s="1168">
        <v>524722873</v>
      </c>
      <c r="H345" s="828"/>
      <c r="I345" s="634">
        <f t="shared" si="24"/>
        <v>0</v>
      </c>
      <c r="J345" s="822">
        <f t="shared" si="25"/>
        <v>0</v>
      </c>
    </row>
    <row r="346" spans="1:10" x14ac:dyDescent="0.25">
      <c r="A346" s="994">
        <v>37450501</v>
      </c>
      <c r="B346" s="994" t="s">
        <v>1397</v>
      </c>
      <c r="C346" s="795">
        <v>524722873</v>
      </c>
      <c r="E346" s="1167">
        <v>37450501</v>
      </c>
      <c r="F346" s="1167" t="s">
        <v>1397</v>
      </c>
      <c r="G346" s="1168">
        <v>524722873</v>
      </c>
      <c r="H346" s="828"/>
      <c r="I346" s="634">
        <f t="shared" si="24"/>
        <v>0</v>
      </c>
      <c r="J346" s="822">
        <f t="shared" si="25"/>
        <v>0</v>
      </c>
    </row>
    <row r="347" spans="1:10" x14ac:dyDescent="0.25">
      <c r="A347" s="826">
        <v>4</v>
      </c>
      <c r="B347" s="826" t="s">
        <v>878</v>
      </c>
      <c r="C347" s="1110">
        <v>7057358483.7600002</v>
      </c>
      <c r="E347" s="1167">
        <v>4</v>
      </c>
      <c r="F347" s="1167" t="s">
        <v>878</v>
      </c>
      <c r="G347" s="1168">
        <v>7057358483.7600002</v>
      </c>
      <c r="H347" s="828"/>
      <c r="I347" s="634">
        <f t="shared" si="24"/>
        <v>0</v>
      </c>
      <c r="J347" s="822">
        <f t="shared" si="25"/>
        <v>0</v>
      </c>
    </row>
    <row r="348" spans="1:10" x14ac:dyDescent="0.25">
      <c r="A348" s="634">
        <v>41</v>
      </c>
      <c r="B348" s="634" t="s">
        <v>188</v>
      </c>
      <c r="C348" s="795">
        <v>6918828473</v>
      </c>
      <c r="E348" s="1167">
        <v>41</v>
      </c>
      <c r="F348" s="1167" t="s">
        <v>188</v>
      </c>
      <c r="G348" s="1168">
        <v>6918828473</v>
      </c>
      <c r="H348" s="828"/>
      <c r="I348" s="634">
        <f t="shared" si="24"/>
        <v>0</v>
      </c>
      <c r="J348" s="822">
        <f t="shared" si="25"/>
        <v>0</v>
      </c>
    </row>
    <row r="349" spans="1:10" x14ac:dyDescent="0.25">
      <c r="A349" s="634">
        <v>4180</v>
      </c>
      <c r="B349" s="634" t="s">
        <v>124</v>
      </c>
      <c r="C349" s="795">
        <v>319408338</v>
      </c>
      <c r="E349" s="1167">
        <v>4180</v>
      </c>
      <c r="F349" s="1167" t="s">
        <v>124</v>
      </c>
      <c r="G349" s="1168">
        <v>319408338</v>
      </c>
      <c r="H349" s="828"/>
      <c r="I349" s="634">
        <f t="shared" si="24"/>
        <v>0</v>
      </c>
      <c r="J349" s="822">
        <f t="shared" si="25"/>
        <v>0</v>
      </c>
    </row>
    <row r="350" spans="1:10" x14ac:dyDescent="0.25">
      <c r="A350" s="634">
        <v>418016</v>
      </c>
      <c r="B350" s="634" t="s">
        <v>1001</v>
      </c>
      <c r="C350" s="795">
        <v>319408338</v>
      </c>
      <c r="E350" s="1167">
        <v>418016</v>
      </c>
      <c r="F350" s="1167" t="s">
        <v>1001</v>
      </c>
      <c r="G350" s="1168">
        <v>319408338</v>
      </c>
      <c r="H350" s="828"/>
      <c r="I350" s="634">
        <f t="shared" si="24"/>
        <v>0</v>
      </c>
      <c r="J350" s="822">
        <f t="shared" si="25"/>
        <v>0</v>
      </c>
    </row>
    <row r="351" spans="1:10" x14ac:dyDescent="0.25">
      <c r="A351" s="634">
        <v>41801601</v>
      </c>
      <c r="B351" s="634" t="s">
        <v>1002</v>
      </c>
      <c r="C351" s="795">
        <v>319408338</v>
      </c>
      <c r="E351" s="1167">
        <v>41801601</v>
      </c>
      <c r="F351" s="1167" t="s">
        <v>1002</v>
      </c>
      <c r="G351" s="1168">
        <v>319408338</v>
      </c>
      <c r="H351" s="828"/>
      <c r="I351" s="634">
        <f t="shared" si="24"/>
        <v>0</v>
      </c>
      <c r="J351" s="822">
        <f t="shared" si="25"/>
        <v>0</v>
      </c>
    </row>
    <row r="352" spans="1:10" x14ac:dyDescent="0.25">
      <c r="A352" s="817">
        <v>4185</v>
      </c>
      <c r="B352" s="818" t="s">
        <v>190</v>
      </c>
      <c r="C352" s="795">
        <v>6599420135</v>
      </c>
      <c r="E352" s="1167">
        <v>4185</v>
      </c>
      <c r="F352" s="1167" t="s">
        <v>190</v>
      </c>
      <c r="G352" s="1168">
        <v>6599420135</v>
      </c>
      <c r="H352" s="828"/>
      <c r="I352" s="634">
        <f t="shared" si="24"/>
        <v>0</v>
      </c>
      <c r="J352" s="822">
        <f t="shared" si="25"/>
        <v>0</v>
      </c>
    </row>
    <row r="353" spans="1:10" x14ac:dyDescent="0.25">
      <c r="A353" s="817">
        <v>418510</v>
      </c>
      <c r="B353" s="818" t="s">
        <v>879</v>
      </c>
      <c r="C353" s="795">
        <v>6359023183</v>
      </c>
      <c r="E353" s="1167">
        <v>418510</v>
      </c>
      <c r="F353" s="1167" t="s">
        <v>879</v>
      </c>
      <c r="G353" s="1168">
        <v>6359023183</v>
      </c>
      <c r="H353" s="828"/>
      <c r="I353" s="634">
        <f t="shared" si="24"/>
        <v>0</v>
      </c>
      <c r="J353" s="822">
        <f t="shared" si="25"/>
        <v>0</v>
      </c>
    </row>
    <row r="354" spans="1:10" x14ac:dyDescent="0.25">
      <c r="A354" s="817">
        <v>41851001</v>
      </c>
      <c r="B354" s="818" t="s">
        <v>747</v>
      </c>
      <c r="C354" s="795">
        <v>6273185058</v>
      </c>
      <c r="E354" s="1167">
        <v>41851001</v>
      </c>
      <c r="F354" s="1167" t="s">
        <v>747</v>
      </c>
      <c r="G354" s="1168">
        <v>6273185058</v>
      </c>
      <c r="H354" s="828"/>
      <c r="I354" s="634">
        <f t="shared" si="24"/>
        <v>0</v>
      </c>
      <c r="J354" s="822">
        <f t="shared" si="25"/>
        <v>0</v>
      </c>
    </row>
    <row r="355" spans="1:10" x14ac:dyDescent="0.25">
      <c r="A355" s="817">
        <v>4185100101</v>
      </c>
      <c r="B355" s="818" t="s">
        <v>880</v>
      </c>
      <c r="C355" s="795">
        <v>6273185058</v>
      </c>
      <c r="E355" s="1167">
        <v>4185100101</v>
      </c>
      <c r="F355" s="1167" t="s">
        <v>880</v>
      </c>
      <c r="G355" s="1168">
        <v>6273185058</v>
      </c>
      <c r="H355" s="828"/>
      <c r="I355" s="634">
        <f t="shared" si="24"/>
        <v>0</v>
      </c>
      <c r="J355" s="822">
        <f t="shared" si="25"/>
        <v>0</v>
      </c>
    </row>
    <row r="356" spans="1:10" x14ac:dyDescent="0.25">
      <c r="A356" s="817">
        <v>41851002</v>
      </c>
      <c r="B356" s="818" t="s">
        <v>749</v>
      </c>
      <c r="C356" s="795">
        <v>85838125</v>
      </c>
      <c r="E356" s="1167">
        <v>41851002</v>
      </c>
      <c r="F356" s="1167" t="s">
        <v>749</v>
      </c>
      <c r="G356" s="1168">
        <v>85838125</v>
      </c>
      <c r="H356" s="828"/>
      <c r="I356" s="634">
        <f t="shared" si="24"/>
        <v>0</v>
      </c>
      <c r="J356" s="822">
        <f t="shared" si="25"/>
        <v>0</v>
      </c>
    </row>
    <row r="357" spans="1:10" x14ac:dyDescent="0.25">
      <c r="A357" s="817">
        <v>4185100201</v>
      </c>
      <c r="B357" s="818" t="s">
        <v>881</v>
      </c>
      <c r="C357" s="795">
        <v>85838125</v>
      </c>
      <c r="E357" s="1167">
        <v>4185100201</v>
      </c>
      <c r="F357" s="1167" t="s">
        <v>881</v>
      </c>
      <c r="G357" s="1168">
        <v>85838125</v>
      </c>
      <c r="H357" s="828"/>
      <c r="I357" s="634">
        <f t="shared" si="24"/>
        <v>0</v>
      </c>
      <c r="J357" s="822">
        <f t="shared" si="25"/>
        <v>0</v>
      </c>
    </row>
    <row r="358" spans="1:10" x14ac:dyDescent="0.25">
      <c r="A358" s="817">
        <v>418546</v>
      </c>
      <c r="B358" s="818" t="s">
        <v>882</v>
      </c>
      <c r="C358" s="795">
        <v>196456088</v>
      </c>
      <c r="E358" s="1167">
        <v>418546</v>
      </c>
      <c r="F358" s="1167" t="s">
        <v>882</v>
      </c>
      <c r="G358" s="1168">
        <v>196456088</v>
      </c>
      <c r="H358" s="828"/>
      <c r="I358" s="634">
        <f t="shared" si="24"/>
        <v>0</v>
      </c>
      <c r="J358" s="822">
        <f t="shared" si="25"/>
        <v>0</v>
      </c>
    </row>
    <row r="359" spans="1:10" x14ac:dyDescent="0.25">
      <c r="A359" s="817">
        <v>41854601</v>
      </c>
      <c r="B359" s="818" t="s">
        <v>883</v>
      </c>
      <c r="C359" s="795">
        <v>196456088</v>
      </c>
      <c r="E359" s="1167">
        <v>41854601</v>
      </c>
      <c r="F359" s="1167" t="s">
        <v>883</v>
      </c>
      <c r="G359" s="1168">
        <v>196456088</v>
      </c>
      <c r="H359" s="828"/>
      <c r="I359" s="634">
        <f t="shared" si="24"/>
        <v>0</v>
      </c>
      <c r="J359" s="822">
        <f t="shared" si="25"/>
        <v>0</v>
      </c>
    </row>
    <row r="360" spans="1:10" x14ac:dyDescent="0.25">
      <c r="A360" s="994">
        <v>418598</v>
      </c>
      <c r="B360" s="994" t="s">
        <v>884</v>
      </c>
      <c r="C360" s="795">
        <v>43940864</v>
      </c>
      <c r="E360" s="1167">
        <v>418598</v>
      </c>
      <c r="F360" s="1167" t="s">
        <v>884</v>
      </c>
      <c r="G360" s="1168">
        <v>43940864</v>
      </c>
      <c r="H360" s="828"/>
      <c r="I360" s="634">
        <f t="shared" si="24"/>
        <v>0</v>
      </c>
      <c r="J360" s="822">
        <f t="shared" si="25"/>
        <v>0</v>
      </c>
    </row>
    <row r="361" spans="1:10" x14ac:dyDescent="0.25">
      <c r="A361" s="994">
        <v>41859802</v>
      </c>
      <c r="B361" s="994" t="s">
        <v>885</v>
      </c>
      <c r="C361" s="795">
        <v>0</v>
      </c>
      <c r="E361" s="1167">
        <v>41859802</v>
      </c>
      <c r="F361" s="1167" t="s">
        <v>885</v>
      </c>
      <c r="G361" s="1168">
        <v>0</v>
      </c>
      <c r="H361" s="828"/>
      <c r="I361" s="634">
        <f t="shared" si="24"/>
        <v>0</v>
      </c>
      <c r="J361" s="822">
        <f t="shared" si="25"/>
        <v>0</v>
      </c>
    </row>
    <row r="362" spans="1:10" x14ac:dyDescent="0.25">
      <c r="A362" s="994">
        <v>41859803</v>
      </c>
      <c r="B362" s="994" t="s">
        <v>1398</v>
      </c>
      <c r="C362" s="795">
        <v>43916425</v>
      </c>
      <c r="E362" s="1167">
        <v>41859803</v>
      </c>
      <c r="F362" s="1167" t="s">
        <v>1398</v>
      </c>
      <c r="G362" s="1168">
        <v>43916425</v>
      </c>
      <c r="H362" s="828"/>
      <c r="I362" s="634">
        <f t="shared" si="24"/>
        <v>0</v>
      </c>
      <c r="J362" s="822">
        <f t="shared" si="25"/>
        <v>0</v>
      </c>
    </row>
    <row r="363" spans="1:10" x14ac:dyDescent="0.25">
      <c r="A363" s="994">
        <v>41859804</v>
      </c>
      <c r="B363" s="994" t="s">
        <v>1399</v>
      </c>
      <c r="C363" s="795">
        <v>24439</v>
      </c>
      <c r="E363" s="1167">
        <v>41859804</v>
      </c>
      <c r="F363" s="1167" t="s">
        <v>1399</v>
      </c>
      <c r="G363" s="1168">
        <v>24439</v>
      </c>
      <c r="H363" s="828"/>
      <c r="I363" s="634">
        <f t="shared" si="24"/>
        <v>0</v>
      </c>
      <c r="J363" s="822">
        <f t="shared" si="25"/>
        <v>0</v>
      </c>
    </row>
    <row r="364" spans="1:10" x14ac:dyDescent="0.25">
      <c r="A364" s="817">
        <v>42</v>
      </c>
      <c r="B364" s="818" t="s">
        <v>192</v>
      </c>
      <c r="C364" s="795">
        <v>138530010.75999999</v>
      </c>
      <c r="E364" s="1167">
        <v>42</v>
      </c>
      <c r="F364" s="1167" t="s">
        <v>192</v>
      </c>
      <c r="G364" s="1168">
        <v>138530010.75999999</v>
      </c>
      <c r="H364" s="828"/>
      <c r="I364" s="634">
        <f t="shared" si="24"/>
        <v>0</v>
      </c>
      <c r="J364" s="822">
        <f t="shared" si="25"/>
        <v>0</v>
      </c>
    </row>
    <row r="365" spans="1:10" x14ac:dyDescent="0.25">
      <c r="A365" s="817">
        <v>4210</v>
      </c>
      <c r="B365" s="818" t="s">
        <v>111</v>
      </c>
      <c r="C365" s="795">
        <v>129409566.76000001</v>
      </c>
      <c r="E365" s="1167">
        <v>4210</v>
      </c>
      <c r="F365" s="1167" t="s">
        <v>111</v>
      </c>
      <c r="G365" s="1168">
        <v>129409566.76000001</v>
      </c>
      <c r="H365" s="828"/>
      <c r="I365" s="634">
        <f t="shared" si="24"/>
        <v>0</v>
      </c>
      <c r="J365" s="822">
        <f t="shared" si="25"/>
        <v>0</v>
      </c>
    </row>
    <row r="366" spans="1:10" x14ac:dyDescent="0.25">
      <c r="A366" s="817">
        <v>421098</v>
      </c>
      <c r="B366" s="818" t="s">
        <v>742</v>
      </c>
      <c r="C366" s="795">
        <v>129409566.76000001</v>
      </c>
      <c r="E366" s="1167">
        <v>421098</v>
      </c>
      <c r="F366" s="1167" t="s">
        <v>742</v>
      </c>
      <c r="G366" s="1168">
        <v>129409566.76000001</v>
      </c>
      <c r="H366" s="828"/>
      <c r="I366" s="634">
        <f t="shared" si="24"/>
        <v>0</v>
      </c>
      <c r="J366" s="822">
        <f t="shared" si="25"/>
        <v>0</v>
      </c>
    </row>
    <row r="367" spans="1:10" x14ac:dyDescent="0.25">
      <c r="A367" s="817">
        <v>42109801</v>
      </c>
      <c r="B367" s="818" t="s">
        <v>886</v>
      </c>
      <c r="C367" s="795">
        <v>9063319</v>
      </c>
      <c r="E367" s="1167">
        <v>42109801</v>
      </c>
      <c r="F367" s="1167" t="s">
        <v>1530</v>
      </c>
      <c r="G367" s="1168">
        <v>9063319</v>
      </c>
      <c r="H367" s="828"/>
      <c r="I367" s="634">
        <f t="shared" si="24"/>
        <v>0</v>
      </c>
      <c r="J367" s="822">
        <f t="shared" si="25"/>
        <v>0</v>
      </c>
    </row>
    <row r="368" spans="1:10" x14ac:dyDescent="0.25">
      <c r="A368" s="817">
        <v>42109802</v>
      </c>
      <c r="B368" s="818" t="s">
        <v>1051</v>
      </c>
      <c r="C368" s="795">
        <v>113561247.76000001</v>
      </c>
      <c r="E368" s="1167">
        <v>42109802</v>
      </c>
      <c r="F368" s="1167" t="s">
        <v>1051</v>
      </c>
      <c r="G368" s="1168">
        <v>113561247.76000001</v>
      </c>
      <c r="H368" s="828"/>
      <c r="I368" s="634">
        <f t="shared" si="24"/>
        <v>0</v>
      </c>
      <c r="J368" s="822">
        <f t="shared" si="25"/>
        <v>0</v>
      </c>
    </row>
    <row r="369" spans="1:10" x14ac:dyDescent="0.25">
      <c r="A369" s="1155">
        <v>42359501</v>
      </c>
      <c r="B369" s="1155" t="s">
        <v>1531</v>
      </c>
      <c r="C369" s="795">
        <v>6785000</v>
      </c>
      <c r="E369" s="1167">
        <v>42359501</v>
      </c>
      <c r="F369" s="1167" t="s">
        <v>1531</v>
      </c>
      <c r="G369" s="1168">
        <v>6785000</v>
      </c>
      <c r="H369" s="828"/>
      <c r="I369" s="634">
        <f t="shared" si="24"/>
        <v>0</v>
      </c>
      <c r="J369" s="822">
        <f t="shared" si="25"/>
        <v>0</v>
      </c>
    </row>
    <row r="370" spans="1:10" x14ac:dyDescent="0.25">
      <c r="A370" s="994">
        <v>4255</v>
      </c>
      <c r="B370" s="994" t="s">
        <v>14</v>
      </c>
      <c r="C370" s="795">
        <v>9120444</v>
      </c>
      <c r="E370" s="1167">
        <v>4255</v>
      </c>
      <c r="F370" s="1167" t="s">
        <v>14</v>
      </c>
      <c r="G370" s="1168">
        <v>9120444</v>
      </c>
      <c r="H370" s="828"/>
      <c r="I370" s="634">
        <f t="shared" si="24"/>
        <v>0</v>
      </c>
      <c r="J370" s="822">
        <f t="shared" si="25"/>
        <v>0</v>
      </c>
    </row>
    <row r="371" spans="1:10" x14ac:dyDescent="0.25">
      <c r="A371" s="994">
        <v>425540</v>
      </c>
      <c r="B371" s="994" t="s">
        <v>1400</v>
      </c>
      <c r="C371" s="795">
        <v>9120444</v>
      </c>
      <c r="E371" s="1167">
        <v>425540</v>
      </c>
      <c r="F371" s="1167" t="s">
        <v>1400</v>
      </c>
      <c r="G371" s="1168">
        <v>9120444</v>
      </c>
      <c r="H371" s="828"/>
      <c r="I371" s="634">
        <f t="shared" si="24"/>
        <v>0</v>
      </c>
      <c r="J371" s="822">
        <f t="shared" si="25"/>
        <v>0</v>
      </c>
    </row>
    <row r="372" spans="1:10" x14ac:dyDescent="0.25">
      <c r="A372" s="827">
        <v>42554001</v>
      </c>
      <c r="B372" s="827" t="s">
        <v>1359</v>
      </c>
      <c r="C372" s="795">
        <v>9120444</v>
      </c>
      <c r="E372" s="1167">
        <v>42554001</v>
      </c>
      <c r="F372" s="1167" t="s">
        <v>1359</v>
      </c>
      <c r="G372" s="1168">
        <v>9120444</v>
      </c>
      <c r="H372" s="828"/>
      <c r="I372" s="634">
        <f t="shared" si="24"/>
        <v>0</v>
      </c>
      <c r="J372" s="822">
        <f t="shared" si="25"/>
        <v>0</v>
      </c>
    </row>
    <row r="373" spans="1:10" x14ac:dyDescent="0.25">
      <c r="A373" s="817">
        <v>5</v>
      </c>
      <c r="B373" s="818" t="s">
        <v>887</v>
      </c>
      <c r="C373" s="795">
        <v>3465754433.73</v>
      </c>
      <c r="D373" s="820"/>
      <c r="E373" s="1167">
        <v>5</v>
      </c>
      <c r="F373" s="1167" t="s">
        <v>887</v>
      </c>
      <c r="G373" s="1168">
        <v>3465754433.73</v>
      </c>
      <c r="H373" s="828"/>
      <c r="I373" s="634">
        <f t="shared" si="24"/>
        <v>0</v>
      </c>
      <c r="J373" s="822">
        <f t="shared" si="25"/>
        <v>0</v>
      </c>
    </row>
    <row r="374" spans="1:10" x14ac:dyDescent="0.25">
      <c r="A374" s="817">
        <v>51</v>
      </c>
      <c r="B374" s="818" t="s">
        <v>196</v>
      </c>
      <c r="C374" s="795">
        <v>3347235415</v>
      </c>
      <c r="D374" s="822"/>
      <c r="E374" s="1167">
        <v>51</v>
      </c>
      <c r="F374" s="1167" t="s">
        <v>196</v>
      </c>
      <c r="G374" s="1168">
        <v>3347235415</v>
      </c>
      <c r="H374" s="828"/>
      <c r="I374" s="634">
        <f t="shared" si="24"/>
        <v>0</v>
      </c>
      <c r="J374" s="822">
        <f t="shared" si="25"/>
        <v>0</v>
      </c>
    </row>
    <row r="375" spans="1:10" x14ac:dyDescent="0.25">
      <c r="A375" s="817">
        <v>5105</v>
      </c>
      <c r="B375" s="818" t="s">
        <v>198</v>
      </c>
      <c r="C375" s="795">
        <v>1450553552</v>
      </c>
      <c r="E375" s="1167">
        <v>5105</v>
      </c>
      <c r="F375" s="1167" t="s">
        <v>198</v>
      </c>
      <c r="G375" s="1168">
        <v>1450553552</v>
      </c>
      <c r="H375" s="828"/>
      <c r="I375" s="634">
        <f t="shared" si="24"/>
        <v>0</v>
      </c>
      <c r="J375" s="822">
        <f t="shared" si="25"/>
        <v>0</v>
      </c>
    </row>
    <row r="376" spans="1:10" x14ac:dyDescent="0.25">
      <c r="A376" s="817">
        <v>510506</v>
      </c>
      <c r="B376" s="818" t="s">
        <v>60</v>
      </c>
      <c r="C376" s="795">
        <v>772370902</v>
      </c>
      <c r="E376" s="1167">
        <v>510506</v>
      </c>
      <c r="F376" s="1167" t="s">
        <v>60</v>
      </c>
      <c r="G376" s="1168">
        <v>772370902</v>
      </c>
      <c r="H376" s="828"/>
      <c r="I376" s="634">
        <f t="shared" si="24"/>
        <v>0</v>
      </c>
      <c r="J376" s="822">
        <f t="shared" si="25"/>
        <v>0</v>
      </c>
    </row>
    <row r="377" spans="1:10" x14ac:dyDescent="0.25">
      <c r="A377" s="817">
        <v>51050601</v>
      </c>
      <c r="B377" s="818" t="s">
        <v>888</v>
      </c>
      <c r="C377" s="795">
        <v>772370902</v>
      </c>
      <c r="E377" s="1167">
        <v>51050601</v>
      </c>
      <c r="F377" s="1167" t="s">
        <v>888</v>
      </c>
      <c r="G377" s="1168">
        <v>772370902</v>
      </c>
      <c r="H377" s="828"/>
      <c r="I377" s="634">
        <f t="shared" si="24"/>
        <v>0</v>
      </c>
      <c r="J377" s="822">
        <f t="shared" si="25"/>
        <v>0</v>
      </c>
    </row>
    <row r="378" spans="1:10" x14ac:dyDescent="0.25">
      <c r="A378" s="817">
        <v>510527</v>
      </c>
      <c r="B378" s="818" t="s">
        <v>61</v>
      </c>
      <c r="C378" s="795">
        <v>17713835</v>
      </c>
      <c r="D378" s="637"/>
      <c r="E378" s="1167">
        <v>510527</v>
      </c>
      <c r="F378" s="1167" t="s">
        <v>61</v>
      </c>
      <c r="G378" s="1168">
        <v>17713835</v>
      </c>
      <c r="H378" s="828"/>
      <c r="I378" s="634">
        <f t="shared" si="24"/>
        <v>0</v>
      </c>
      <c r="J378" s="822">
        <f t="shared" si="25"/>
        <v>0</v>
      </c>
    </row>
    <row r="379" spans="1:10" x14ac:dyDescent="0.25">
      <c r="A379" s="817">
        <v>51052701</v>
      </c>
      <c r="B379" s="818" t="s">
        <v>889</v>
      </c>
      <c r="C379" s="795">
        <v>17713835</v>
      </c>
      <c r="D379" s="637"/>
      <c r="E379" s="1167">
        <v>51052701</v>
      </c>
      <c r="F379" s="1167" t="s">
        <v>889</v>
      </c>
      <c r="G379" s="1168">
        <v>17713835</v>
      </c>
      <c r="H379" s="828"/>
      <c r="I379" s="634">
        <f t="shared" ref="I379:I384" si="26">+A379-E379</f>
        <v>0</v>
      </c>
      <c r="J379" s="822">
        <f t="shared" ref="J379:J384" si="27">+C379-G379</f>
        <v>0</v>
      </c>
    </row>
    <row r="380" spans="1:10" x14ac:dyDescent="0.25">
      <c r="A380" s="817">
        <v>510530</v>
      </c>
      <c r="B380" s="818" t="s">
        <v>62</v>
      </c>
      <c r="C380" s="795">
        <v>69827611</v>
      </c>
      <c r="D380" s="637"/>
      <c r="E380" s="1167">
        <v>510530</v>
      </c>
      <c r="F380" s="1167" t="s">
        <v>62</v>
      </c>
      <c r="G380" s="1168">
        <v>69827611</v>
      </c>
      <c r="H380" s="828"/>
      <c r="I380" s="634">
        <f t="shared" si="26"/>
        <v>0</v>
      </c>
      <c r="J380" s="822">
        <f t="shared" si="27"/>
        <v>0</v>
      </c>
    </row>
    <row r="381" spans="1:10" x14ac:dyDescent="0.25">
      <c r="A381" s="817">
        <v>51053001</v>
      </c>
      <c r="B381" s="818" t="s">
        <v>862</v>
      </c>
      <c r="C381" s="795">
        <v>69827611</v>
      </c>
      <c r="D381" s="637"/>
      <c r="E381" s="1167">
        <v>51053001</v>
      </c>
      <c r="F381" s="1167" t="s">
        <v>862</v>
      </c>
      <c r="G381" s="1168">
        <v>69827611</v>
      </c>
      <c r="H381" s="828"/>
      <c r="I381" s="634">
        <f t="shared" si="26"/>
        <v>0</v>
      </c>
      <c r="J381" s="822">
        <f t="shared" si="27"/>
        <v>0</v>
      </c>
    </row>
    <row r="382" spans="1:10" x14ac:dyDescent="0.25">
      <c r="A382" s="817">
        <v>510533</v>
      </c>
      <c r="B382" s="818" t="s">
        <v>849</v>
      </c>
      <c r="C382" s="795">
        <v>8232858</v>
      </c>
      <c r="D382" s="637"/>
      <c r="E382" s="1167">
        <v>510533</v>
      </c>
      <c r="F382" s="1167" t="s">
        <v>849</v>
      </c>
      <c r="G382" s="1168">
        <v>8232858</v>
      </c>
      <c r="H382" s="828"/>
      <c r="I382" s="634">
        <f t="shared" si="26"/>
        <v>0</v>
      </c>
      <c r="J382" s="822">
        <f t="shared" si="27"/>
        <v>0</v>
      </c>
    </row>
    <row r="383" spans="1:10" x14ac:dyDescent="0.25">
      <c r="A383" s="817">
        <v>51053301</v>
      </c>
      <c r="B383" s="818" t="s">
        <v>890</v>
      </c>
      <c r="C383" s="795">
        <v>8232858</v>
      </c>
      <c r="D383" s="637"/>
      <c r="E383" s="1167">
        <v>51053301</v>
      </c>
      <c r="F383" s="1167" t="s">
        <v>890</v>
      </c>
      <c r="G383" s="1168">
        <v>8232858</v>
      </c>
      <c r="H383" s="828"/>
      <c r="I383" s="634">
        <f t="shared" si="26"/>
        <v>0</v>
      </c>
      <c r="J383" s="822">
        <f t="shared" si="27"/>
        <v>0</v>
      </c>
    </row>
    <row r="384" spans="1:10" x14ac:dyDescent="0.25">
      <c r="A384" s="817">
        <v>510536</v>
      </c>
      <c r="B384" s="818" t="s">
        <v>891</v>
      </c>
      <c r="C384" s="795">
        <v>65593179</v>
      </c>
      <c r="D384" s="637"/>
      <c r="E384" s="1167">
        <v>510536</v>
      </c>
      <c r="F384" s="1167" t="s">
        <v>891</v>
      </c>
      <c r="G384" s="1168">
        <v>65593179</v>
      </c>
      <c r="H384" s="828"/>
      <c r="I384" s="634">
        <f t="shared" si="26"/>
        <v>0</v>
      </c>
      <c r="J384" s="822">
        <f t="shared" si="27"/>
        <v>0</v>
      </c>
    </row>
    <row r="385" spans="1:10" x14ac:dyDescent="0.25">
      <c r="A385" s="817">
        <v>51053601</v>
      </c>
      <c r="B385" s="818" t="s">
        <v>892</v>
      </c>
      <c r="C385" s="795">
        <v>65593179</v>
      </c>
      <c r="D385" s="637"/>
      <c r="E385" s="1167">
        <v>51053601</v>
      </c>
      <c r="F385" s="1167" t="s">
        <v>892</v>
      </c>
      <c r="G385" s="1168">
        <v>65593179</v>
      </c>
      <c r="H385" s="828"/>
      <c r="I385" s="634">
        <f t="shared" ref="I385:I443" si="28">+A385-E385</f>
        <v>0</v>
      </c>
      <c r="J385" s="822">
        <f t="shared" ref="J385:J443" si="29">+C385-G385</f>
        <v>0</v>
      </c>
    </row>
    <row r="386" spans="1:10" x14ac:dyDescent="0.25">
      <c r="A386" s="817">
        <v>510539</v>
      </c>
      <c r="B386" s="818" t="s">
        <v>65</v>
      </c>
      <c r="C386" s="795">
        <v>33000000</v>
      </c>
      <c r="D386" s="637"/>
      <c r="E386" s="1167">
        <v>510539</v>
      </c>
      <c r="F386" s="1167" t="s">
        <v>65</v>
      </c>
      <c r="G386" s="1168">
        <v>33000000</v>
      </c>
      <c r="H386" s="828"/>
      <c r="I386" s="634">
        <f t="shared" si="28"/>
        <v>0</v>
      </c>
      <c r="J386" s="822">
        <f t="shared" si="29"/>
        <v>0</v>
      </c>
    </row>
    <row r="387" spans="1:10" x14ac:dyDescent="0.25">
      <c r="A387" s="817">
        <v>51053901</v>
      </c>
      <c r="B387" s="818" t="s">
        <v>851</v>
      </c>
      <c r="C387" s="795">
        <v>33000000</v>
      </c>
      <c r="D387" s="637"/>
      <c r="E387" s="1167">
        <v>51053901</v>
      </c>
      <c r="F387" s="1167" t="s">
        <v>851</v>
      </c>
      <c r="G387" s="1168">
        <v>33000000</v>
      </c>
      <c r="H387" s="828"/>
      <c r="I387" s="634">
        <f t="shared" si="28"/>
        <v>0</v>
      </c>
      <c r="J387" s="822">
        <f t="shared" si="29"/>
        <v>0</v>
      </c>
    </row>
    <row r="388" spans="1:10" x14ac:dyDescent="0.25">
      <c r="A388" s="817">
        <v>510545</v>
      </c>
      <c r="B388" s="818" t="s">
        <v>893</v>
      </c>
      <c r="C388" s="795">
        <v>69550920</v>
      </c>
      <c r="D388" s="637"/>
      <c r="E388" s="1167">
        <v>510545</v>
      </c>
      <c r="F388" s="1167" t="s">
        <v>893</v>
      </c>
      <c r="G388" s="1168">
        <v>69550920</v>
      </c>
      <c r="H388" s="828"/>
      <c r="I388" s="634">
        <f t="shared" si="28"/>
        <v>0</v>
      </c>
      <c r="J388" s="822">
        <f t="shared" si="29"/>
        <v>0</v>
      </c>
    </row>
    <row r="389" spans="1:10" x14ac:dyDescent="0.25">
      <c r="A389" s="817">
        <v>51054501</v>
      </c>
      <c r="B389" s="818" t="s">
        <v>894</v>
      </c>
      <c r="C389" s="795">
        <v>69550920</v>
      </c>
      <c r="D389" s="637"/>
      <c r="E389" s="1167">
        <v>51054501</v>
      </c>
      <c r="F389" s="1167" t="s">
        <v>894</v>
      </c>
      <c r="G389" s="1168">
        <v>69550920</v>
      </c>
      <c r="H389" s="828"/>
      <c r="I389" s="634">
        <f t="shared" si="28"/>
        <v>0</v>
      </c>
      <c r="J389" s="822">
        <f t="shared" si="29"/>
        <v>0</v>
      </c>
    </row>
    <row r="390" spans="1:10" x14ac:dyDescent="0.25">
      <c r="A390" s="817">
        <v>510548</v>
      </c>
      <c r="B390" s="818" t="s">
        <v>67</v>
      </c>
      <c r="C390" s="795">
        <v>140315500</v>
      </c>
      <c r="D390" s="637"/>
      <c r="E390" s="1167">
        <v>510548</v>
      </c>
      <c r="F390" s="1167" t="s">
        <v>67</v>
      </c>
      <c r="G390" s="1168">
        <v>140315500</v>
      </c>
      <c r="H390" s="828"/>
      <c r="I390" s="634">
        <f t="shared" si="28"/>
        <v>0</v>
      </c>
      <c r="J390" s="822">
        <f t="shared" si="29"/>
        <v>0</v>
      </c>
    </row>
    <row r="391" spans="1:10" x14ac:dyDescent="0.25">
      <c r="A391" s="817">
        <v>51054801</v>
      </c>
      <c r="B391" s="818" t="s">
        <v>1025</v>
      </c>
      <c r="C391" s="795">
        <v>140315500</v>
      </c>
      <c r="D391" s="637"/>
      <c r="E391" s="1167">
        <v>51054801</v>
      </c>
      <c r="F391" s="1167" t="s">
        <v>1025</v>
      </c>
      <c r="G391" s="1168">
        <v>140315500</v>
      </c>
      <c r="H391" s="828"/>
      <c r="I391" s="634">
        <f t="shared" si="28"/>
        <v>0</v>
      </c>
      <c r="J391" s="822">
        <f t="shared" si="29"/>
        <v>0</v>
      </c>
    </row>
    <row r="392" spans="1:10" x14ac:dyDescent="0.25">
      <c r="A392" s="817">
        <v>510551</v>
      </c>
      <c r="B392" s="818" t="s">
        <v>1029</v>
      </c>
      <c r="C392" s="795">
        <v>3505799</v>
      </c>
      <c r="D392" s="637"/>
      <c r="E392" s="1167">
        <v>510551</v>
      </c>
      <c r="F392" s="1167" t="s">
        <v>1029</v>
      </c>
      <c r="G392" s="1168">
        <v>3505799</v>
      </c>
      <c r="H392" s="828"/>
      <c r="I392" s="634">
        <f t="shared" si="28"/>
        <v>0</v>
      </c>
      <c r="J392" s="822">
        <f t="shared" si="29"/>
        <v>0</v>
      </c>
    </row>
    <row r="393" spans="1:10" x14ac:dyDescent="0.25">
      <c r="A393" s="817">
        <v>51055101</v>
      </c>
      <c r="B393" s="818" t="s">
        <v>1030</v>
      </c>
      <c r="C393" s="795">
        <v>3505799</v>
      </c>
      <c r="D393" s="637"/>
      <c r="E393" s="1167">
        <v>51055101</v>
      </c>
      <c r="F393" s="1167" t="s">
        <v>1030</v>
      </c>
      <c r="G393" s="1168">
        <v>3505799</v>
      </c>
      <c r="H393" s="828"/>
      <c r="I393" s="634">
        <f t="shared" si="28"/>
        <v>0</v>
      </c>
      <c r="J393" s="822">
        <f t="shared" si="29"/>
        <v>0</v>
      </c>
    </row>
    <row r="394" spans="1:10" x14ac:dyDescent="0.25">
      <c r="A394" s="827">
        <v>510560</v>
      </c>
      <c r="B394" s="827" t="s">
        <v>1360</v>
      </c>
      <c r="D394" s="637"/>
      <c r="E394" s="1167"/>
      <c r="F394" s="1167"/>
      <c r="G394" s="1168"/>
      <c r="H394" s="828"/>
      <c r="I394" s="634">
        <f t="shared" si="28"/>
        <v>510560</v>
      </c>
      <c r="J394" s="822">
        <f t="shared" si="29"/>
        <v>0</v>
      </c>
    </row>
    <row r="395" spans="1:10" x14ac:dyDescent="0.25">
      <c r="A395" s="827">
        <v>51056001</v>
      </c>
      <c r="B395" s="827" t="s">
        <v>1361</v>
      </c>
      <c r="D395" s="637"/>
      <c r="E395" s="1167"/>
      <c r="F395" s="1167"/>
      <c r="G395" s="1168"/>
      <c r="H395" s="828"/>
      <c r="I395" s="634">
        <f t="shared" si="28"/>
        <v>51056001</v>
      </c>
      <c r="J395" s="822">
        <f t="shared" si="29"/>
        <v>0</v>
      </c>
    </row>
    <row r="396" spans="1:10" x14ac:dyDescent="0.25">
      <c r="A396" s="817">
        <v>510563</v>
      </c>
      <c r="B396" s="818" t="s">
        <v>69</v>
      </c>
      <c r="C396" s="795">
        <v>10034660</v>
      </c>
      <c r="D396" s="637"/>
      <c r="E396" s="1167">
        <v>510563</v>
      </c>
      <c r="F396" s="1167" t="s">
        <v>69</v>
      </c>
      <c r="G396" s="1168">
        <v>10034660</v>
      </c>
      <c r="H396" s="828"/>
      <c r="I396" s="634">
        <f t="shared" si="28"/>
        <v>0</v>
      </c>
      <c r="J396" s="822">
        <f t="shared" si="29"/>
        <v>0</v>
      </c>
    </row>
    <row r="397" spans="1:10" x14ac:dyDescent="0.25">
      <c r="A397" s="817">
        <v>51056301</v>
      </c>
      <c r="B397" s="818" t="s">
        <v>895</v>
      </c>
      <c r="C397" s="795">
        <v>10034660</v>
      </c>
      <c r="D397" s="637"/>
      <c r="E397" s="1167">
        <v>51056301</v>
      </c>
      <c r="F397" s="1167" t="s">
        <v>895</v>
      </c>
      <c r="G397" s="1168">
        <v>10034660</v>
      </c>
      <c r="H397" s="828"/>
      <c r="I397" s="634">
        <f t="shared" si="28"/>
        <v>0</v>
      </c>
      <c r="J397" s="822">
        <f t="shared" si="29"/>
        <v>0</v>
      </c>
    </row>
    <row r="398" spans="1:10" x14ac:dyDescent="0.25">
      <c r="A398" s="817">
        <v>510569</v>
      </c>
      <c r="B398" s="818" t="s">
        <v>896</v>
      </c>
      <c r="C398" s="795">
        <v>72010474</v>
      </c>
      <c r="D398" s="637"/>
      <c r="E398" s="1167">
        <v>510569</v>
      </c>
      <c r="F398" s="1167" t="s">
        <v>896</v>
      </c>
      <c r="G398" s="1168">
        <v>72010474</v>
      </c>
      <c r="H398" s="828"/>
      <c r="I398" s="634">
        <f t="shared" si="28"/>
        <v>0</v>
      </c>
      <c r="J398" s="822">
        <f t="shared" si="29"/>
        <v>0</v>
      </c>
    </row>
    <row r="399" spans="1:10" x14ac:dyDescent="0.25">
      <c r="A399" s="817">
        <v>51056901</v>
      </c>
      <c r="B399" s="818" t="s">
        <v>897</v>
      </c>
      <c r="C399" s="795">
        <v>72010474</v>
      </c>
      <c r="D399" s="637"/>
      <c r="E399" s="1167">
        <v>51056901</v>
      </c>
      <c r="F399" s="1167" t="s">
        <v>897</v>
      </c>
      <c r="G399" s="1168">
        <v>72010474</v>
      </c>
      <c r="H399" s="828"/>
      <c r="I399" s="634">
        <f t="shared" si="28"/>
        <v>0</v>
      </c>
      <c r="J399" s="822">
        <f t="shared" si="29"/>
        <v>0</v>
      </c>
    </row>
    <row r="400" spans="1:10" x14ac:dyDescent="0.25">
      <c r="A400" s="817">
        <v>510570</v>
      </c>
      <c r="B400" s="818" t="s">
        <v>898</v>
      </c>
      <c r="C400" s="795">
        <v>100070014</v>
      </c>
      <c r="D400" s="637"/>
      <c r="E400" s="1167">
        <v>510570</v>
      </c>
      <c r="F400" s="1167" t="s">
        <v>898</v>
      </c>
      <c r="G400" s="1168">
        <v>100070014</v>
      </c>
      <c r="H400" s="828"/>
      <c r="I400" s="634">
        <f t="shared" si="28"/>
        <v>0</v>
      </c>
      <c r="J400" s="822">
        <f t="shared" si="29"/>
        <v>0</v>
      </c>
    </row>
    <row r="401" spans="1:10" x14ac:dyDescent="0.25">
      <c r="A401" s="817">
        <v>51057001</v>
      </c>
      <c r="B401" s="818" t="s">
        <v>899</v>
      </c>
      <c r="C401" s="795">
        <v>100070014</v>
      </c>
      <c r="D401" s="637"/>
      <c r="E401" s="1167">
        <v>51057001</v>
      </c>
      <c r="F401" s="1167" t="s">
        <v>899</v>
      </c>
      <c r="G401" s="1168">
        <v>100070014</v>
      </c>
      <c r="H401" s="828"/>
      <c r="I401" s="634">
        <f t="shared" si="28"/>
        <v>0</v>
      </c>
      <c r="J401" s="822">
        <f t="shared" si="29"/>
        <v>0</v>
      </c>
    </row>
    <row r="402" spans="1:10" x14ac:dyDescent="0.25">
      <c r="A402" s="817">
        <v>510571</v>
      </c>
      <c r="B402" s="818" t="s">
        <v>1314</v>
      </c>
      <c r="C402" s="795">
        <v>16955800</v>
      </c>
      <c r="D402" s="637"/>
      <c r="E402" s="1167">
        <v>510571</v>
      </c>
      <c r="F402" s="1167" t="s">
        <v>1314</v>
      </c>
      <c r="G402" s="1168">
        <v>16955800</v>
      </c>
      <c r="H402" s="828"/>
      <c r="I402" s="634">
        <f t="shared" si="28"/>
        <v>0</v>
      </c>
      <c r="J402" s="822">
        <f t="shared" si="29"/>
        <v>0</v>
      </c>
    </row>
    <row r="403" spans="1:10" x14ac:dyDescent="0.25">
      <c r="A403" s="817">
        <v>51057101</v>
      </c>
      <c r="B403" s="818" t="s">
        <v>900</v>
      </c>
      <c r="C403" s="795">
        <v>16955800</v>
      </c>
      <c r="D403" s="637"/>
      <c r="E403" s="1167">
        <v>51057101</v>
      </c>
      <c r="F403" s="1167" t="s">
        <v>900</v>
      </c>
      <c r="G403" s="1168">
        <v>16955800</v>
      </c>
      <c r="H403" s="828"/>
      <c r="I403" s="634">
        <f t="shared" si="28"/>
        <v>0</v>
      </c>
      <c r="J403" s="822">
        <f t="shared" si="29"/>
        <v>0</v>
      </c>
    </row>
    <row r="404" spans="1:10" x14ac:dyDescent="0.25">
      <c r="A404" s="817">
        <v>510572</v>
      </c>
      <c r="B404" s="818" t="s">
        <v>901</v>
      </c>
      <c r="C404" s="795">
        <v>32118600</v>
      </c>
      <c r="D404" s="637"/>
      <c r="E404" s="1167">
        <v>510572</v>
      </c>
      <c r="F404" s="1167" t="s">
        <v>901</v>
      </c>
      <c r="G404" s="1168">
        <v>32118600</v>
      </c>
      <c r="H404" s="828"/>
      <c r="I404" s="634">
        <f t="shared" si="28"/>
        <v>0</v>
      </c>
      <c r="J404" s="822">
        <f t="shared" si="29"/>
        <v>0</v>
      </c>
    </row>
    <row r="405" spans="1:10" x14ac:dyDescent="0.25">
      <c r="A405" s="817">
        <v>51057201</v>
      </c>
      <c r="B405" s="818" t="s">
        <v>902</v>
      </c>
      <c r="C405" s="795">
        <v>32118600</v>
      </c>
      <c r="D405" s="637"/>
      <c r="E405" s="1167">
        <v>51057201</v>
      </c>
      <c r="F405" s="1167" t="s">
        <v>902</v>
      </c>
      <c r="G405" s="1168">
        <v>32118600</v>
      </c>
      <c r="H405" s="828"/>
      <c r="I405" s="634">
        <f t="shared" si="28"/>
        <v>0</v>
      </c>
      <c r="J405" s="822">
        <f t="shared" si="29"/>
        <v>0</v>
      </c>
    </row>
    <row r="406" spans="1:10" x14ac:dyDescent="0.25">
      <c r="A406" s="817">
        <v>510575</v>
      </c>
      <c r="B406" s="818" t="s">
        <v>1315</v>
      </c>
      <c r="C406" s="795">
        <v>23559200</v>
      </c>
      <c r="D406" s="637"/>
      <c r="E406" s="1167">
        <v>510575</v>
      </c>
      <c r="F406" s="1167" t="s">
        <v>1315</v>
      </c>
      <c r="G406" s="1168">
        <v>23559200</v>
      </c>
      <c r="H406" s="828"/>
      <c r="I406" s="634">
        <f t="shared" si="28"/>
        <v>0</v>
      </c>
      <c r="J406" s="822">
        <f t="shared" si="29"/>
        <v>0</v>
      </c>
    </row>
    <row r="407" spans="1:10" x14ac:dyDescent="0.25">
      <c r="A407" s="817">
        <v>51057501</v>
      </c>
      <c r="B407" s="818" t="s">
        <v>903</v>
      </c>
      <c r="C407" s="795">
        <v>23559200</v>
      </c>
      <c r="D407" s="637"/>
      <c r="E407" s="1167">
        <v>51057501</v>
      </c>
      <c r="F407" s="1167" t="s">
        <v>903</v>
      </c>
      <c r="G407" s="1168">
        <v>23559200</v>
      </c>
      <c r="H407" s="828"/>
      <c r="I407" s="634">
        <f t="shared" si="28"/>
        <v>0</v>
      </c>
      <c r="J407" s="822">
        <f t="shared" si="29"/>
        <v>0</v>
      </c>
    </row>
    <row r="408" spans="1:10" x14ac:dyDescent="0.25">
      <c r="A408" s="817">
        <v>510578</v>
      </c>
      <c r="B408" s="818" t="s">
        <v>904</v>
      </c>
      <c r="C408" s="795">
        <v>15694200</v>
      </c>
      <c r="D408" s="637"/>
      <c r="E408" s="1167">
        <v>510578</v>
      </c>
      <c r="F408" s="1167" t="s">
        <v>904</v>
      </c>
      <c r="G408" s="1168">
        <v>15694200</v>
      </c>
      <c r="H408" s="828"/>
      <c r="I408" s="634">
        <f t="shared" si="28"/>
        <v>0</v>
      </c>
      <c r="J408" s="822">
        <f t="shared" si="29"/>
        <v>0</v>
      </c>
    </row>
    <row r="409" spans="1:10" x14ac:dyDescent="0.25">
      <c r="A409" s="817">
        <v>51057801</v>
      </c>
      <c r="B409" s="818" t="s">
        <v>905</v>
      </c>
      <c r="C409" s="795">
        <v>15694200</v>
      </c>
      <c r="D409" s="637"/>
      <c r="E409" s="1167">
        <v>51057801</v>
      </c>
      <c r="F409" s="1167" t="s">
        <v>905</v>
      </c>
      <c r="G409" s="1168">
        <v>15694200</v>
      </c>
      <c r="H409" s="828"/>
      <c r="I409" s="634">
        <f t="shared" si="28"/>
        <v>0</v>
      </c>
      <c r="J409" s="822">
        <f t="shared" si="29"/>
        <v>0</v>
      </c>
    </row>
    <row r="410" spans="1:10" x14ac:dyDescent="0.25">
      <c r="A410" s="817">
        <v>5110</v>
      </c>
      <c r="B410" s="818" t="s">
        <v>906</v>
      </c>
      <c r="C410" s="795">
        <v>1265415060</v>
      </c>
      <c r="D410" s="637"/>
      <c r="E410" s="1167">
        <v>5110</v>
      </c>
      <c r="F410" s="1167" t="s">
        <v>906</v>
      </c>
      <c r="G410" s="1168">
        <v>1265415060</v>
      </c>
      <c r="H410" s="828"/>
      <c r="I410" s="634">
        <f t="shared" si="28"/>
        <v>0</v>
      </c>
      <c r="J410" s="822">
        <f t="shared" si="29"/>
        <v>0</v>
      </c>
    </row>
    <row r="411" spans="1:10" x14ac:dyDescent="0.25">
      <c r="A411" s="817">
        <v>511001</v>
      </c>
      <c r="B411" s="818" t="s">
        <v>72</v>
      </c>
      <c r="C411" s="795">
        <v>77735496</v>
      </c>
      <c r="D411" s="637"/>
      <c r="E411" s="1167">
        <v>511001</v>
      </c>
      <c r="F411" s="1167" t="s">
        <v>72</v>
      </c>
      <c r="G411" s="1168">
        <v>77735496</v>
      </c>
      <c r="H411" s="828"/>
      <c r="I411" s="634">
        <f t="shared" si="28"/>
        <v>0</v>
      </c>
      <c r="J411" s="822">
        <f t="shared" si="29"/>
        <v>0</v>
      </c>
    </row>
    <row r="412" spans="1:10" x14ac:dyDescent="0.25">
      <c r="A412" s="817">
        <v>51100101</v>
      </c>
      <c r="B412" s="818" t="s">
        <v>907</v>
      </c>
      <c r="C412" s="1110">
        <v>77735496</v>
      </c>
      <c r="D412" s="637"/>
      <c r="E412" s="1167">
        <v>51100101</v>
      </c>
      <c r="F412" s="1167" t="s">
        <v>907</v>
      </c>
      <c r="G412" s="1168">
        <v>77735496</v>
      </c>
      <c r="H412" s="828"/>
      <c r="I412" s="634">
        <f t="shared" si="28"/>
        <v>0</v>
      </c>
      <c r="J412" s="822">
        <f t="shared" si="29"/>
        <v>0</v>
      </c>
    </row>
    <row r="413" spans="1:10" x14ac:dyDescent="0.25">
      <c r="A413" s="817">
        <v>511002</v>
      </c>
      <c r="B413" s="818" t="s">
        <v>908</v>
      </c>
      <c r="C413" s="795">
        <v>5254647</v>
      </c>
      <c r="D413" s="637"/>
      <c r="E413" s="1167">
        <v>511002</v>
      </c>
      <c r="F413" s="1167" t="s">
        <v>908</v>
      </c>
      <c r="G413" s="1168">
        <v>5254647</v>
      </c>
      <c r="H413" s="828"/>
      <c r="I413" s="634">
        <f t="shared" si="28"/>
        <v>0</v>
      </c>
      <c r="J413" s="822">
        <f t="shared" si="29"/>
        <v>0</v>
      </c>
    </row>
    <row r="414" spans="1:10" x14ac:dyDescent="0.25">
      <c r="A414" s="817">
        <v>51100201</v>
      </c>
      <c r="B414" s="818" t="s">
        <v>909</v>
      </c>
      <c r="C414" s="1110">
        <v>5254647</v>
      </c>
      <c r="D414" s="637"/>
      <c r="E414" s="1167">
        <v>51100201</v>
      </c>
      <c r="F414" s="1167" t="s">
        <v>909</v>
      </c>
      <c r="G414" s="1168">
        <v>5254647</v>
      </c>
      <c r="H414" s="828"/>
      <c r="I414" s="634">
        <f t="shared" si="28"/>
        <v>0</v>
      </c>
      <c r="J414" s="822">
        <f t="shared" si="29"/>
        <v>0</v>
      </c>
    </row>
    <row r="415" spans="1:10" x14ac:dyDescent="0.25">
      <c r="A415" s="817">
        <v>511004</v>
      </c>
      <c r="B415" s="818" t="s">
        <v>910</v>
      </c>
      <c r="C415" s="795">
        <v>16137190</v>
      </c>
      <c r="D415" s="637"/>
      <c r="E415" s="1167">
        <v>511004</v>
      </c>
      <c r="F415" s="1167" t="s">
        <v>910</v>
      </c>
      <c r="G415" s="1168">
        <v>16137190</v>
      </c>
      <c r="H415" s="828"/>
      <c r="I415" s="634">
        <f t="shared" si="28"/>
        <v>0</v>
      </c>
      <c r="J415" s="822">
        <f t="shared" si="29"/>
        <v>0</v>
      </c>
    </row>
    <row r="416" spans="1:10" x14ac:dyDescent="0.25">
      <c r="A416" s="817">
        <v>51100401</v>
      </c>
      <c r="B416" s="818" t="s">
        <v>911</v>
      </c>
      <c r="C416" s="1110">
        <v>16137190</v>
      </c>
      <c r="D416" s="637"/>
      <c r="E416" s="1167">
        <v>51100401</v>
      </c>
      <c r="F416" s="1167" t="s">
        <v>911</v>
      </c>
      <c r="G416" s="1168">
        <v>16137190</v>
      </c>
      <c r="H416" s="828"/>
      <c r="I416" s="634">
        <f t="shared" si="28"/>
        <v>0</v>
      </c>
      <c r="J416" s="822">
        <f t="shared" si="29"/>
        <v>0</v>
      </c>
    </row>
    <row r="417" spans="1:10" x14ac:dyDescent="0.25">
      <c r="A417" s="817">
        <v>511008</v>
      </c>
      <c r="B417" s="818" t="s">
        <v>1048</v>
      </c>
      <c r="C417" s="795">
        <v>10838861</v>
      </c>
      <c r="D417" s="637"/>
      <c r="E417" s="1167">
        <v>511008</v>
      </c>
      <c r="F417" s="1167" t="s">
        <v>1048</v>
      </c>
      <c r="G417" s="1168">
        <v>10838861</v>
      </c>
      <c r="H417" s="828"/>
      <c r="I417" s="634">
        <f t="shared" si="28"/>
        <v>0</v>
      </c>
      <c r="J417" s="822">
        <f t="shared" si="29"/>
        <v>0</v>
      </c>
    </row>
    <row r="418" spans="1:10" x14ac:dyDescent="0.25">
      <c r="A418" s="817">
        <v>51100801</v>
      </c>
      <c r="B418" s="818" t="s">
        <v>1049</v>
      </c>
      <c r="C418" s="1110">
        <v>10838861</v>
      </c>
      <c r="D418" s="637"/>
      <c r="E418" s="1167">
        <v>51100801</v>
      </c>
      <c r="F418" s="1167" t="s">
        <v>1049</v>
      </c>
      <c r="G418" s="1168">
        <v>10838861</v>
      </c>
      <c r="H418" s="828"/>
      <c r="I418" s="634">
        <f t="shared" si="28"/>
        <v>0</v>
      </c>
      <c r="J418" s="822">
        <f t="shared" si="29"/>
        <v>0</v>
      </c>
    </row>
    <row r="419" spans="1:10" x14ac:dyDescent="0.25">
      <c r="A419" s="817">
        <v>511010</v>
      </c>
      <c r="B419" s="818" t="s">
        <v>912</v>
      </c>
      <c r="C419" s="795">
        <v>8201770</v>
      </c>
      <c r="D419" s="637">
        <f>+C421/11</f>
        <v>326727.27272727271</v>
      </c>
      <c r="E419" s="1167">
        <v>511010</v>
      </c>
      <c r="F419" s="1167" t="s">
        <v>912</v>
      </c>
      <c r="G419" s="1168">
        <v>8201770</v>
      </c>
      <c r="H419" s="828"/>
      <c r="I419" s="634">
        <f t="shared" si="28"/>
        <v>0</v>
      </c>
      <c r="J419" s="822">
        <f t="shared" si="29"/>
        <v>0</v>
      </c>
    </row>
    <row r="420" spans="1:10" x14ac:dyDescent="0.25">
      <c r="A420" s="817">
        <v>51101001</v>
      </c>
      <c r="B420" s="818" t="s">
        <v>913</v>
      </c>
      <c r="C420" s="1110">
        <v>8201770</v>
      </c>
      <c r="D420" s="637"/>
      <c r="E420" s="1167">
        <v>51101001</v>
      </c>
      <c r="F420" s="1167" t="s">
        <v>913</v>
      </c>
      <c r="G420" s="1168">
        <v>8201770</v>
      </c>
      <c r="H420" s="828"/>
      <c r="I420" s="634">
        <f t="shared" si="28"/>
        <v>0</v>
      </c>
      <c r="J420" s="822">
        <f t="shared" si="29"/>
        <v>0</v>
      </c>
    </row>
    <row r="421" spans="1:10" x14ac:dyDescent="0.25">
      <c r="A421" s="817">
        <v>511014</v>
      </c>
      <c r="B421" s="818" t="s">
        <v>914</v>
      </c>
      <c r="C421" s="795">
        <v>3594000</v>
      </c>
      <c r="D421" s="637"/>
      <c r="E421" s="1167">
        <v>511014</v>
      </c>
      <c r="F421" s="1167" t="s">
        <v>914</v>
      </c>
      <c r="G421" s="1168">
        <v>3594000</v>
      </c>
      <c r="H421" s="828"/>
      <c r="I421" s="634">
        <f t="shared" si="28"/>
        <v>0</v>
      </c>
      <c r="J421" s="822">
        <f t="shared" si="29"/>
        <v>0</v>
      </c>
    </row>
    <row r="422" spans="1:10" x14ac:dyDescent="0.25">
      <c r="A422" s="817">
        <v>51101401</v>
      </c>
      <c r="B422" s="818" t="s">
        <v>915</v>
      </c>
      <c r="C422" s="1110">
        <v>3594000</v>
      </c>
      <c r="D422" s="637"/>
      <c r="E422" s="1167">
        <v>51101401</v>
      </c>
      <c r="F422" s="1167" t="s">
        <v>915</v>
      </c>
      <c r="G422" s="1168">
        <v>3594000</v>
      </c>
      <c r="H422" s="828"/>
      <c r="I422" s="634">
        <f t="shared" si="28"/>
        <v>0</v>
      </c>
      <c r="J422" s="822">
        <f t="shared" si="29"/>
        <v>0</v>
      </c>
    </row>
    <row r="423" spans="1:10" x14ac:dyDescent="0.25">
      <c r="A423" s="817">
        <v>511018</v>
      </c>
      <c r="B423" s="818" t="s">
        <v>916</v>
      </c>
      <c r="C423" s="795">
        <v>16208942</v>
      </c>
      <c r="D423" s="637"/>
      <c r="E423" s="1167">
        <v>511018</v>
      </c>
      <c r="F423" s="1167" t="s">
        <v>916</v>
      </c>
      <c r="G423" s="1168">
        <v>16208942</v>
      </c>
      <c r="H423" s="828"/>
      <c r="I423" s="634">
        <f t="shared" si="28"/>
        <v>0</v>
      </c>
      <c r="J423" s="822">
        <f t="shared" si="29"/>
        <v>0</v>
      </c>
    </row>
    <row r="424" spans="1:10" x14ac:dyDescent="0.25">
      <c r="A424" s="817">
        <v>51101801</v>
      </c>
      <c r="B424" s="818" t="s">
        <v>917</v>
      </c>
      <c r="C424" s="1110">
        <v>16208942</v>
      </c>
      <c r="D424" s="637"/>
      <c r="E424" s="1167">
        <v>51101801</v>
      </c>
      <c r="F424" s="1167" t="s">
        <v>917</v>
      </c>
      <c r="G424" s="1168">
        <v>16208942</v>
      </c>
      <c r="H424" s="828"/>
      <c r="I424" s="634">
        <f t="shared" si="28"/>
        <v>0</v>
      </c>
      <c r="J424" s="822">
        <f t="shared" si="29"/>
        <v>0</v>
      </c>
    </row>
    <row r="425" spans="1:10" x14ac:dyDescent="0.25">
      <c r="A425" s="817">
        <v>511020</v>
      </c>
      <c r="B425" s="818" t="s">
        <v>233</v>
      </c>
      <c r="C425" s="795">
        <v>17201508</v>
      </c>
      <c r="D425" s="637"/>
      <c r="E425" s="1167">
        <v>511020</v>
      </c>
      <c r="F425" s="1167" t="s">
        <v>233</v>
      </c>
      <c r="G425" s="1168">
        <v>17201508</v>
      </c>
      <c r="H425" s="828"/>
      <c r="I425" s="634">
        <f t="shared" si="28"/>
        <v>0</v>
      </c>
      <c r="J425" s="822">
        <f t="shared" si="29"/>
        <v>0</v>
      </c>
    </row>
    <row r="426" spans="1:10" x14ac:dyDescent="0.25">
      <c r="A426" s="817">
        <v>51102001</v>
      </c>
      <c r="B426" s="818" t="s">
        <v>918</v>
      </c>
      <c r="C426" s="1110">
        <v>17201508</v>
      </c>
      <c r="D426" s="637"/>
      <c r="E426" s="1167">
        <v>51102001</v>
      </c>
      <c r="F426" s="1167" t="s">
        <v>918</v>
      </c>
      <c r="G426" s="1168">
        <v>17201508</v>
      </c>
      <c r="H426" s="828"/>
      <c r="I426" s="634">
        <f t="shared" si="28"/>
        <v>0</v>
      </c>
      <c r="J426" s="822">
        <f t="shared" si="29"/>
        <v>0</v>
      </c>
    </row>
    <row r="427" spans="1:10" x14ac:dyDescent="0.25">
      <c r="A427" s="817">
        <v>511022</v>
      </c>
      <c r="B427" s="818" t="s">
        <v>919</v>
      </c>
      <c r="C427" s="795">
        <v>37658482</v>
      </c>
      <c r="D427" s="637"/>
      <c r="E427" s="1167">
        <v>511022</v>
      </c>
      <c r="F427" s="1167" t="s">
        <v>919</v>
      </c>
      <c r="G427" s="1168">
        <v>37658482</v>
      </c>
      <c r="H427" s="828"/>
      <c r="I427" s="634">
        <f t="shared" si="28"/>
        <v>0</v>
      </c>
      <c r="J427" s="822">
        <f t="shared" si="29"/>
        <v>0</v>
      </c>
    </row>
    <row r="428" spans="1:10" x14ac:dyDescent="0.25">
      <c r="A428" s="817">
        <v>51102201</v>
      </c>
      <c r="B428" s="818" t="s">
        <v>920</v>
      </c>
      <c r="C428" s="1110">
        <v>37658482</v>
      </c>
      <c r="D428" s="637"/>
      <c r="E428" s="1167">
        <v>51102201</v>
      </c>
      <c r="F428" s="1167" t="s">
        <v>920</v>
      </c>
      <c r="G428" s="1168">
        <v>37658482</v>
      </c>
      <c r="H428" s="828"/>
      <c r="I428" s="634">
        <f t="shared" si="28"/>
        <v>0</v>
      </c>
      <c r="J428" s="822">
        <f t="shared" si="29"/>
        <v>0</v>
      </c>
    </row>
    <row r="429" spans="1:10" x14ac:dyDescent="0.25">
      <c r="A429" s="817">
        <v>511024</v>
      </c>
      <c r="B429" s="818" t="s">
        <v>921</v>
      </c>
      <c r="C429" s="795">
        <v>6337103</v>
      </c>
      <c r="D429" s="637"/>
      <c r="E429" s="1167">
        <v>511024</v>
      </c>
      <c r="F429" s="1167" t="s">
        <v>921</v>
      </c>
      <c r="G429" s="1168">
        <v>6337103</v>
      </c>
      <c r="H429" s="828"/>
      <c r="I429" s="634">
        <f t="shared" si="28"/>
        <v>0</v>
      </c>
      <c r="J429" s="822">
        <f t="shared" si="29"/>
        <v>0</v>
      </c>
    </row>
    <row r="430" spans="1:10" x14ac:dyDescent="0.25">
      <c r="A430" s="817">
        <v>51102401</v>
      </c>
      <c r="B430" s="818" t="s">
        <v>922</v>
      </c>
      <c r="C430" s="1110">
        <v>6337103</v>
      </c>
      <c r="D430" s="637"/>
      <c r="E430" s="1167">
        <v>51102401</v>
      </c>
      <c r="F430" s="1167" t="s">
        <v>922</v>
      </c>
      <c r="G430" s="1168">
        <v>6337103</v>
      </c>
      <c r="H430" s="828"/>
      <c r="I430" s="634">
        <f t="shared" si="28"/>
        <v>0</v>
      </c>
      <c r="J430" s="822">
        <f t="shared" si="29"/>
        <v>0</v>
      </c>
    </row>
    <row r="431" spans="1:10" x14ac:dyDescent="0.25">
      <c r="A431" s="817">
        <v>511026</v>
      </c>
      <c r="B431" s="818" t="s">
        <v>923</v>
      </c>
      <c r="C431" s="795">
        <v>31316684</v>
      </c>
      <c r="D431" s="637"/>
      <c r="E431" s="1167">
        <v>511026</v>
      </c>
      <c r="F431" s="1167" t="s">
        <v>923</v>
      </c>
      <c r="G431" s="1168">
        <v>31316684</v>
      </c>
      <c r="H431" s="828"/>
      <c r="I431" s="634">
        <f t="shared" si="28"/>
        <v>0</v>
      </c>
      <c r="J431" s="822">
        <f t="shared" si="29"/>
        <v>0</v>
      </c>
    </row>
    <row r="432" spans="1:10" x14ac:dyDescent="0.25">
      <c r="A432" s="817">
        <v>51102601</v>
      </c>
      <c r="B432" s="818" t="s">
        <v>924</v>
      </c>
      <c r="C432" s="1110">
        <v>31316684</v>
      </c>
      <c r="D432" s="637"/>
      <c r="E432" s="1167">
        <v>51102601</v>
      </c>
      <c r="F432" s="1167" t="s">
        <v>924</v>
      </c>
      <c r="G432" s="1168">
        <v>31316684</v>
      </c>
      <c r="H432" s="828"/>
      <c r="I432" s="634">
        <f t="shared" si="28"/>
        <v>0</v>
      </c>
      <c r="J432" s="822">
        <f t="shared" si="29"/>
        <v>0</v>
      </c>
    </row>
    <row r="433" spans="1:10" x14ac:dyDescent="0.25">
      <c r="A433" s="817">
        <v>511028</v>
      </c>
      <c r="B433" s="818" t="s">
        <v>925</v>
      </c>
      <c r="C433" s="795">
        <v>10710860</v>
      </c>
      <c r="D433" s="637"/>
      <c r="E433" s="1167">
        <v>511028</v>
      </c>
      <c r="F433" s="1167" t="s">
        <v>925</v>
      </c>
      <c r="G433" s="1168">
        <v>10710860</v>
      </c>
      <c r="H433" s="828"/>
      <c r="I433" s="634">
        <f t="shared" si="28"/>
        <v>0</v>
      </c>
      <c r="J433" s="822">
        <f t="shared" si="29"/>
        <v>0</v>
      </c>
    </row>
    <row r="434" spans="1:10" x14ac:dyDescent="0.25">
      <c r="A434" s="817">
        <v>51102801</v>
      </c>
      <c r="B434" s="818" t="s">
        <v>926</v>
      </c>
      <c r="C434" s="1110">
        <v>10710860</v>
      </c>
      <c r="D434" s="637"/>
      <c r="E434" s="1167">
        <v>51102801</v>
      </c>
      <c r="F434" s="1167" t="s">
        <v>926</v>
      </c>
      <c r="G434" s="1168">
        <v>10710860</v>
      </c>
      <c r="H434" s="828"/>
      <c r="I434" s="634">
        <f t="shared" si="28"/>
        <v>0</v>
      </c>
      <c r="J434" s="822">
        <f t="shared" si="29"/>
        <v>0</v>
      </c>
    </row>
    <row r="435" spans="1:10" x14ac:dyDescent="0.25">
      <c r="A435" s="817">
        <v>511034</v>
      </c>
      <c r="B435" s="818" t="s">
        <v>84</v>
      </c>
      <c r="C435" s="795">
        <v>46311725</v>
      </c>
      <c r="D435" s="637"/>
      <c r="E435" s="1167">
        <v>511034</v>
      </c>
      <c r="F435" s="1167" t="s">
        <v>84</v>
      </c>
      <c r="G435" s="1168">
        <v>46311725</v>
      </c>
      <c r="H435" s="828"/>
      <c r="I435" s="634">
        <f t="shared" si="28"/>
        <v>0</v>
      </c>
      <c r="J435" s="822">
        <f t="shared" si="29"/>
        <v>0</v>
      </c>
    </row>
    <row r="436" spans="1:10" x14ac:dyDescent="0.25">
      <c r="A436" s="817">
        <v>51103401</v>
      </c>
      <c r="B436" s="818" t="s">
        <v>927</v>
      </c>
      <c r="C436" s="1110">
        <v>46311725</v>
      </c>
      <c r="D436" s="637"/>
      <c r="E436" s="1167">
        <v>51103401</v>
      </c>
      <c r="F436" s="1167" t="s">
        <v>927</v>
      </c>
      <c r="G436" s="1168">
        <v>46311725</v>
      </c>
      <c r="H436" s="828"/>
      <c r="I436" s="634">
        <f t="shared" si="28"/>
        <v>0</v>
      </c>
      <c r="J436" s="822">
        <f t="shared" si="29"/>
        <v>0</v>
      </c>
    </row>
    <row r="437" spans="1:10" x14ac:dyDescent="0.25">
      <c r="A437" s="817">
        <v>511036</v>
      </c>
      <c r="B437" s="818" t="s">
        <v>1012</v>
      </c>
      <c r="C437" s="795">
        <v>37578006</v>
      </c>
      <c r="D437" s="637"/>
      <c r="E437" s="1167">
        <v>511036</v>
      </c>
      <c r="F437" s="1167" t="s">
        <v>1012</v>
      </c>
      <c r="G437" s="1168">
        <v>37578006</v>
      </c>
      <c r="H437" s="828"/>
      <c r="I437" s="634">
        <f t="shared" si="28"/>
        <v>0</v>
      </c>
      <c r="J437" s="822">
        <f t="shared" si="29"/>
        <v>0</v>
      </c>
    </row>
    <row r="438" spans="1:10" x14ac:dyDescent="0.25">
      <c r="A438" s="817">
        <v>51103601</v>
      </c>
      <c r="B438" s="818" t="s">
        <v>1013</v>
      </c>
      <c r="C438" s="1110">
        <v>37578006</v>
      </c>
      <c r="D438" s="637"/>
      <c r="E438" s="1167">
        <v>51103601</v>
      </c>
      <c r="F438" s="1167" t="s">
        <v>1013</v>
      </c>
      <c r="G438" s="1168">
        <v>37578006</v>
      </c>
      <c r="H438" s="828"/>
      <c r="I438" s="634">
        <f t="shared" si="28"/>
        <v>0</v>
      </c>
      <c r="J438" s="822">
        <f t="shared" si="29"/>
        <v>0</v>
      </c>
    </row>
    <row r="439" spans="1:10" x14ac:dyDescent="0.25">
      <c r="A439" s="817">
        <v>511038</v>
      </c>
      <c r="B439" s="818" t="s">
        <v>928</v>
      </c>
      <c r="C439" s="795">
        <v>14663714</v>
      </c>
      <c r="D439" s="637"/>
      <c r="E439" s="1167">
        <v>511038</v>
      </c>
      <c r="F439" s="1167" t="s">
        <v>928</v>
      </c>
      <c r="G439" s="1168">
        <v>14663714</v>
      </c>
      <c r="H439" s="828"/>
      <c r="I439" s="634">
        <f t="shared" si="28"/>
        <v>0</v>
      </c>
      <c r="J439" s="822">
        <f t="shared" si="29"/>
        <v>0</v>
      </c>
    </row>
    <row r="440" spans="1:10" x14ac:dyDescent="0.25">
      <c r="A440" s="817">
        <v>51103801</v>
      </c>
      <c r="B440" s="818" t="s">
        <v>929</v>
      </c>
      <c r="C440" s="1110">
        <v>14663714</v>
      </c>
      <c r="D440" s="637"/>
      <c r="E440" s="1167">
        <v>51103801</v>
      </c>
      <c r="F440" s="1167" t="s">
        <v>929</v>
      </c>
      <c r="G440" s="1168">
        <v>14663714</v>
      </c>
      <c r="H440" s="828"/>
      <c r="I440" s="634">
        <f t="shared" si="28"/>
        <v>0</v>
      </c>
      <c r="J440" s="822">
        <f t="shared" si="29"/>
        <v>0</v>
      </c>
    </row>
    <row r="441" spans="1:10" x14ac:dyDescent="0.25">
      <c r="A441" s="817">
        <v>511040</v>
      </c>
      <c r="B441" s="818" t="s">
        <v>87</v>
      </c>
      <c r="C441" s="1110">
        <v>59607553</v>
      </c>
      <c r="D441" s="637"/>
      <c r="E441" s="1167">
        <v>511040</v>
      </c>
      <c r="F441" s="1167" t="s">
        <v>87</v>
      </c>
      <c r="G441" s="1168">
        <v>59607553</v>
      </c>
      <c r="H441" s="828"/>
      <c r="I441" s="634">
        <f t="shared" si="28"/>
        <v>0</v>
      </c>
      <c r="J441" s="822">
        <f t="shared" si="29"/>
        <v>0</v>
      </c>
    </row>
    <row r="442" spans="1:10" x14ac:dyDescent="0.25">
      <c r="A442" s="817">
        <v>51104001</v>
      </c>
      <c r="B442" s="818" t="s">
        <v>930</v>
      </c>
      <c r="C442" s="795">
        <v>40890907</v>
      </c>
      <c r="D442" s="637"/>
      <c r="E442" s="1167">
        <v>51104001</v>
      </c>
      <c r="F442" s="1167" t="s">
        <v>930</v>
      </c>
      <c r="G442" s="1168">
        <v>40890907</v>
      </c>
      <c r="H442" s="828"/>
      <c r="I442" s="634">
        <f t="shared" si="28"/>
        <v>0</v>
      </c>
      <c r="J442" s="822">
        <f t="shared" si="29"/>
        <v>0</v>
      </c>
    </row>
    <row r="443" spans="1:10" x14ac:dyDescent="0.25">
      <c r="A443" s="817">
        <v>51104002</v>
      </c>
      <c r="B443" s="818" t="s">
        <v>1031</v>
      </c>
      <c r="C443" s="795">
        <v>18716646</v>
      </c>
      <c r="D443" s="637"/>
      <c r="E443" s="1167">
        <v>51104002</v>
      </c>
      <c r="F443" s="1167" t="s">
        <v>1031</v>
      </c>
      <c r="G443" s="1168">
        <v>18716646</v>
      </c>
      <c r="H443" s="828"/>
      <c r="I443" s="634">
        <f t="shared" si="28"/>
        <v>0</v>
      </c>
      <c r="J443" s="822">
        <f t="shared" si="29"/>
        <v>0</v>
      </c>
    </row>
    <row r="444" spans="1:10" x14ac:dyDescent="0.25">
      <c r="A444" s="817">
        <v>511046</v>
      </c>
      <c r="B444" s="818" t="s">
        <v>88</v>
      </c>
      <c r="C444" s="1110">
        <v>3102099</v>
      </c>
      <c r="D444" s="637"/>
      <c r="E444" s="1167">
        <v>511046</v>
      </c>
      <c r="F444" s="1167" t="s">
        <v>88</v>
      </c>
      <c r="G444" s="1168">
        <v>3102099</v>
      </c>
      <c r="H444" s="828"/>
      <c r="I444" s="634">
        <f t="shared" ref="I444:I502" si="30">+A444-E444</f>
        <v>0</v>
      </c>
      <c r="J444" s="822">
        <f t="shared" ref="J444:J502" si="31">+C444-G444</f>
        <v>0</v>
      </c>
    </row>
    <row r="445" spans="1:10" x14ac:dyDescent="0.25">
      <c r="A445" s="817">
        <v>51104601</v>
      </c>
      <c r="B445" s="818" t="s">
        <v>1316</v>
      </c>
      <c r="C445" s="795">
        <v>3102099</v>
      </c>
      <c r="D445" s="637"/>
      <c r="E445" s="1167">
        <v>51104601</v>
      </c>
      <c r="F445" s="1167" t="s">
        <v>1316</v>
      </c>
      <c r="G445" s="1168">
        <v>3102099</v>
      </c>
      <c r="H445" s="828"/>
      <c r="I445" s="634">
        <f t="shared" si="30"/>
        <v>0</v>
      </c>
      <c r="J445" s="822">
        <f t="shared" si="31"/>
        <v>0</v>
      </c>
    </row>
    <row r="446" spans="1:10" x14ac:dyDescent="0.25">
      <c r="A446" s="817">
        <v>511054</v>
      </c>
      <c r="B446" s="818" t="s">
        <v>931</v>
      </c>
      <c r="C446" s="1110">
        <v>11207846</v>
      </c>
      <c r="D446" s="637"/>
      <c r="E446" s="1167">
        <v>511054</v>
      </c>
      <c r="F446" s="1167" t="s">
        <v>931</v>
      </c>
      <c r="G446" s="1168">
        <v>11207846</v>
      </c>
      <c r="H446" s="828"/>
      <c r="I446" s="634">
        <f t="shared" si="30"/>
        <v>0</v>
      </c>
      <c r="J446" s="822">
        <f t="shared" si="31"/>
        <v>0</v>
      </c>
    </row>
    <row r="447" spans="1:10" x14ac:dyDescent="0.25">
      <c r="A447" s="817">
        <v>51105401</v>
      </c>
      <c r="B447" s="818" t="s">
        <v>932</v>
      </c>
      <c r="C447" s="795">
        <v>11207846</v>
      </c>
      <c r="D447" s="637"/>
      <c r="E447" s="1167">
        <v>51105401</v>
      </c>
      <c r="F447" s="1167" t="s">
        <v>932</v>
      </c>
      <c r="G447" s="1168">
        <v>11207846</v>
      </c>
      <c r="H447" s="828"/>
      <c r="I447" s="634">
        <f t="shared" si="30"/>
        <v>0</v>
      </c>
      <c r="J447" s="822">
        <f t="shared" si="31"/>
        <v>0</v>
      </c>
    </row>
    <row r="448" spans="1:10" x14ac:dyDescent="0.25">
      <c r="A448" s="817">
        <v>511060</v>
      </c>
      <c r="B448" s="818" t="s">
        <v>933</v>
      </c>
      <c r="D448" s="637"/>
      <c r="E448" s="1167"/>
      <c r="F448" s="1167"/>
      <c r="G448" s="1168"/>
      <c r="H448" s="828"/>
      <c r="I448" s="634">
        <f t="shared" si="30"/>
        <v>511060</v>
      </c>
      <c r="J448" s="822">
        <f t="shared" si="31"/>
        <v>0</v>
      </c>
    </row>
    <row r="449" spans="1:10" x14ac:dyDescent="0.25">
      <c r="A449" s="817">
        <v>51106001</v>
      </c>
      <c r="B449" s="818" t="s">
        <v>933</v>
      </c>
      <c r="D449" s="637"/>
      <c r="E449" s="1167"/>
      <c r="F449" s="1167"/>
      <c r="G449" s="1168"/>
      <c r="H449" s="828"/>
      <c r="I449" s="634">
        <f t="shared" si="30"/>
        <v>51106001</v>
      </c>
      <c r="J449" s="822">
        <f t="shared" si="31"/>
        <v>0</v>
      </c>
    </row>
    <row r="450" spans="1:10" x14ac:dyDescent="0.25">
      <c r="A450" s="817">
        <v>511072</v>
      </c>
      <c r="B450" s="818" t="s">
        <v>1317</v>
      </c>
      <c r="C450" s="1110">
        <v>58787201</v>
      </c>
      <c r="D450" s="637"/>
      <c r="E450" s="1167">
        <v>511072</v>
      </c>
      <c r="F450" s="1167" t="s">
        <v>1317</v>
      </c>
      <c r="G450" s="1168">
        <v>58787201</v>
      </c>
      <c r="H450" s="828"/>
      <c r="I450" s="634">
        <f t="shared" si="30"/>
        <v>0</v>
      </c>
      <c r="J450" s="822">
        <f t="shared" si="31"/>
        <v>0</v>
      </c>
    </row>
    <row r="451" spans="1:10" x14ac:dyDescent="0.25">
      <c r="A451" s="817">
        <v>51107201</v>
      </c>
      <c r="B451" s="818" t="s">
        <v>1318</v>
      </c>
      <c r="C451" s="1110">
        <v>58787201</v>
      </c>
      <c r="D451" s="637"/>
      <c r="E451" s="1167">
        <v>51107201</v>
      </c>
      <c r="F451" s="1167" t="s">
        <v>1318</v>
      </c>
      <c r="G451" s="1168">
        <v>58787201</v>
      </c>
      <c r="H451" s="828"/>
      <c r="I451" s="634">
        <f t="shared" si="30"/>
        <v>0</v>
      </c>
      <c r="J451" s="822">
        <f t="shared" si="31"/>
        <v>0</v>
      </c>
    </row>
    <row r="452" spans="1:10" x14ac:dyDescent="0.25">
      <c r="A452" s="817">
        <v>511078</v>
      </c>
      <c r="B452" s="818" t="s">
        <v>1032</v>
      </c>
      <c r="C452" s="1110">
        <v>248247357</v>
      </c>
      <c r="D452" s="637"/>
      <c r="E452" s="1167">
        <v>511078</v>
      </c>
      <c r="F452" s="1167" t="s">
        <v>1032</v>
      </c>
      <c r="G452" s="1168">
        <v>248247357</v>
      </c>
      <c r="H452" s="828"/>
      <c r="I452" s="634">
        <f t="shared" si="30"/>
        <v>0</v>
      </c>
      <c r="J452" s="822">
        <f t="shared" si="31"/>
        <v>0</v>
      </c>
    </row>
    <row r="453" spans="1:10" x14ac:dyDescent="0.25">
      <c r="A453" s="817">
        <v>51107801</v>
      </c>
      <c r="B453" s="818" t="s">
        <v>1033</v>
      </c>
      <c r="C453" s="795">
        <v>248247357</v>
      </c>
      <c r="D453" s="637"/>
      <c r="E453" s="1167">
        <v>51107801</v>
      </c>
      <c r="F453" s="1167" t="s">
        <v>1033</v>
      </c>
      <c r="G453" s="1168">
        <v>248247357</v>
      </c>
      <c r="H453" s="828"/>
      <c r="I453" s="634">
        <f t="shared" si="30"/>
        <v>0</v>
      </c>
      <c r="J453" s="822">
        <f t="shared" si="31"/>
        <v>0</v>
      </c>
    </row>
    <row r="454" spans="1:10" x14ac:dyDescent="0.25">
      <c r="A454" s="817">
        <v>511095</v>
      </c>
      <c r="B454" s="818" t="s">
        <v>95</v>
      </c>
      <c r="C454" s="795">
        <v>544714016</v>
      </c>
      <c r="D454" s="637"/>
      <c r="E454" s="1167">
        <v>511095</v>
      </c>
      <c r="F454" s="1167" t="s">
        <v>95</v>
      </c>
      <c r="G454" s="1168">
        <v>544714016</v>
      </c>
      <c r="H454" s="828"/>
      <c r="I454" s="634">
        <f t="shared" si="30"/>
        <v>0</v>
      </c>
      <c r="J454" s="822">
        <f t="shared" si="31"/>
        <v>0</v>
      </c>
    </row>
    <row r="455" spans="1:10" x14ac:dyDescent="0.25">
      <c r="A455" s="817">
        <v>51109504</v>
      </c>
      <c r="B455" s="818" t="s">
        <v>1319</v>
      </c>
      <c r="C455" s="795">
        <v>3469988</v>
      </c>
      <c r="D455" s="637"/>
      <c r="E455" s="1167">
        <v>51109504</v>
      </c>
      <c r="F455" s="1167" t="s">
        <v>1319</v>
      </c>
      <c r="G455" s="1168">
        <v>3469988</v>
      </c>
      <c r="H455" s="828"/>
      <c r="I455" s="634">
        <f t="shared" si="30"/>
        <v>0</v>
      </c>
      <c r="J455" s="822">
        <f t="shared" si="31"/>
        <v>0</v>
      </c>
    </row>
    <row r="456" spans="1:10" x14ac:dyDescent="0.25">
      <c r="A456" s="817">
        <v>51109505</v>
      </c>
      <c r="B456" s="818" t="s">
        <v>1320</v>
      </c>
      <c r="C456" s="795">
        <v>52302607</v>
      </c>
      <c r="D456" s="637"/>
      <c r="E456" s="1167">
        <v>51109505</v>
      </c>
      <c r="F456" s="1167" t="s">
        <v>1320</v>
      </c>
      <c r="G456" s="1168">
        <v>52302607</v>
      </c>
      <c r="H456" s="828"/>
      <c r="I456" s="634">
        <f t="shared" si="30"/>
        <v>0</v>
      </c>
      <c r="J456" s="822">
        <f t="shared" si="31"/>
        <v>0</v>
      </c>
    </row>
    <row r="457" spans="1:10" x14ac:dyDescent="0.25">
      <c r="A457" s="817">
        <v>51109507</v>
      </c>
      <c r="B457" s="818" t="s">
        <v>1321</v>
      </c>
      <c r="C457" s="795">
        <v>2150000</v>
      </c>
      <c r="D457" s="637"/>
      <c r="E457" s="1167">
        <v>51109506</v>
      </c>
      <c r="F457" s="1167" t="s">
        <v>1532</v>
      </c>
      <c r="G457" s="1168">
        <v>2150000</v>
      </c>
      <c r="H457" s="828"/>
      <c r="I457" s="634">
        <f t="shared" si="30"/>
        <v>1</v>
      </c>
      <c r="J457" s="822">
        <f t="shared" si="31"/>
        <v>0</v>
      </c>
    </row>
    <row r="458" spans="1:10" x14ac:dyDescent="0.25">
      <c r="A458" s="817">
        <v>51109509</v>
      </c>
      <c r="B458" s="818" t="s">
        <v>1322</v>
      </c>
      <c r="C458" s="795">
        <v>33977983</v>
      </c>
      <c r="D458" s="637"/>
      <c r="E458" s="1167">
        <v>51109509</v>
      </c>
      <c r="F458" s="1167" t="s">
        <v>1322</v>
      </c>
      <c r="G458" s="1168">
        <v>33977983</v>
      </c>
      <c r="H458" s="828"/>
      <c r="I458" s="634">
        <f t="shared" si="30"/>
        <v>0</v>
      </c>
      <c r="J458" s="822">
        <f t="shared" si="31"/>
        <v>0</v>
      </c>
    </row>
    <row r="459" spans="1:10" x14ac:dyDescent="0.25">
      <c r="A459" s="817">
        <v>51109510</v>
      </c>
      <c r="B459" s="818" t="s">
        <v>1323</v>
      </c>
      <c r="C459" s="795">
        <v>267956998</v>
      </c>
      <c r="D459" s="637"/>
      <c r="E459" s="1167">
        <v>51109510</v>
      </c>
      <c r="F459" s="1167" t="s">
        <v>1323</v>
      </c>
      <c r="G459" s="1168">
        <v>267956998</v>
      </c>
      <c r="H459" s="828"/>
      <c r="I459" s="634">
        <f t="shared" si="30"/>
        <v>0</v>
      </c>
      <c r="J459" s="822">
        <f t="shared" si="31"/>
        <v>0</v>
      </c>
    </row>
    <row r="460" spans="1:10" x14ac:dyDescent="0.25">
      <c r="A460" s="1079">
        <v>51109512</v>
      </c>
      <c r="B460" s="1079" t="s">
        <v>1450</v>
      </c>
      <c r="C460" s="795">
        <v>46733353</v>
      </c>
      <c r="D460" s="637"/>
      <c r="E460" s="1167">
        <v>51109512</v>
      </c>
      <c r="F460" s="1167" t="s">
        <v>1450</v>
      </c>
      <c r="G460" s="1168">
        <v>46733353</v>
      </c>
      <c r="H460" s="828"/>
      <c r="I460" s="634">
        <f t="shared" si="30"/>
        <v>0</v>
      </c>
      <c r="J460" s="822">
        <f t="shared" si="31"/>
        <v>0</v>
      </c>
    </row>
    <row r="461" spans="1:10" x14ac:dyDescent="0.25">
      <c r="A461" s="821">
        <v>51109514</v>
      </c>
      <c r="B461" s="819" t="s">
        <v>1346</v>
      </c>
      <c r="C461" s="795">
        <v>138123087</v>
      </c>
      <c r="D461" s="637"/>
      <c r="E461" s="1167">
        <v>51109514</v>
      </c>
      <c r="F461" s="1167" t="s">
        <v>1346</v>
      </c>
      <c r="G461" s="1168">
        <v>138123087</v>
      </c>
      <c r="H461" s="828"/>
      <c r="I461" s="634">
        <f t="shared" si="30"/>
        <v>0</v>
      </c>
      <c r="J461" s="822">
        <f t="shared" si="31"/>
        <v>0</v>
      </c>
    </row>
    <row r="462" spans="1:10" x14ac:dyDescent="0.25">
      <c r="A462" s="817">
        <v>5115</v>
      </c>
      <c r="B462" s="818" t="s">
        <v>934</v>
      </c>
      <c r="C462" s="1110">
        <v>532159334</v>
      </c>
      <c r="D462" s="637"/>
      <c r="E462" s="1167">
        <v>5115</v>
      </c>
      <c r="F462" s="1167" t="s">
        <v>934</v>
      </c>
      <c r="G462" s="1168">
        <v>532159334</v>
      </c>
      <c r="H462" s="828"/>
      <c r="I462" s="634">
        <f t="shared" si="30"/>
        <v>0</v>
      </c>
      <c r="J462" s="822">
        <f t="shared" si="31"/>
        <v>0</v>
      </c>
    </row>
    <row r="463" spans="1:10" x14ac:dyDescent="0.25">
      <c r="A463" s="817">
        <v>511515</v>
      </c>
      <c r="B463" s="818" t="s">
        <v>935</v>
      </c>
      <c r="C463" s="1110">
        <v>471519112</v>
      </c>
      <c r="D463" s="637"/>
      <c r="E463" s="1167">
        <v>511515</v>
      </c>
      <c r="F463" s="1167" t="s">
        <v>935</v>
      </c>
      <c r="G463" s="1168">
        <v>471519112</v>
      </c>
      <c r="H463" s="828"/>
      <c r="I463" s="634">
        <f t="shared" si="30"/>
        <v>0</v>
      </c>
      <c r="J463" s="822">
        <f t="shared" si="31"/>
        <v>0</v>
      </c>
    </row>
    <row r="464" spans="1:10" x14ac:dyDescent="0.25">
      <c r="A464" s="817">
        <v>51151501</v>
      </c>
      <c r="B464" s="818" t="s">
        <v>936</v>
      </c>
      <c r="C464" s="1110">
        <v>471519112</v>
      </c>
      <c r="D464" s="637"/>
      <c r="E464" s="1167">
        <v>51151501</v>
      </c>
      <c r="F464" s="1167" t="s">
        <v>936</v>
      </c>
      <c r="G464" s="1168">
        <v>471519112</v>
      </c>
      <c r="H464" s="828"/>
      <c r="I464" s="634">
        <f t="shared" si="30"/>
        <v>0</v>
      </c>
      <c r="J464" s="822">
        <f t="shared" si="31"/>
        <v>0</v>
      </c>
    </row>
    <row r="465" spans="1:10" x14ac:dyDescent="0.25">
      <c r="A465" s="817">
        <v>511524</v>
      </c>
      <c r="B465" s="818" t="s">
        <v>937</v>
      </c>
      <c r="C465" s="1110">
        <v>22549996</v>
      </c>
      <c r="D465" s="637"/>
      <c r="E465" s="1167">
        <v>511524</v>
      </c>
      <c r="F465" s="1167" t="s">
        <v>937</v>
      </c>
      <c r="G465" s="1168">
        <v>22549996</v>
      </c>
      <c r="H465" s="828"/>
      <c r="I465" s="634">
        <f t="shared" si="30"/>
        <v>0</v>
      </c>
      <c r="J465" s="822">
        <f t="shared" si="31"/>
        <v>0</v>
      </c>
    </row>
    <row r="466" spans="1:10" x14ac:dyDescent="0.25">
      <c r="A466" s="817">
        <v>51152401</v>
      </c>
      <c r="B466" s="818" t="s">
        <v>938</v>
      </c>
      <c r="C466" s="1110">
        <v>22549996</v>
      </c>
      <c r="D466" s="637"/>
      <c r="E466" s="1167">
        <v>51152401</v>
      </c>
      <c r="F466" s="1167" t="s">
        <v>938</v>
      </c>
      <c r="G466" s="1168">
        <v>22549996</v>
      </c>
      <c r="H466" s="828"/>
      <c r="I466" s="634">
        <f t="shared" si="30"/>
        <v>0</v>
      </c>
      <c r="J466" s="822">
        <f t="shared" si="31"/>
        <v>0</v>
      </c>
    </row>
    <row r="467" spans="1:10" x14ac:dyDescent="0.25">
      <c r="A467" s="817">
        <v>511530</v>
      </c>
      <c r="B467" s="818" t="s">
        <v>939</v>
      </c>
      <c r="C467" s="1110">
        <v>38090226</v>
      </c>
      <c r="D467" s="637"/>
      <c r="E467" s="1167">
        <v>511530</v>
      </c>
      <c r="F467" s="1167" t="s">
        <v>939</v>
      </c>
      <c r="G467" s="1168">
        <v>38090226</v>
      </c>
      <c r="H467" s="828"/>
      <c r="I467" s="634">
        <f t="shared" si="30"/>
        <v>0</v>
      </c>
      <c r="J467" s="822">
        <f t="shared" si="31"/>
        <v>0</v>
      </c>
    </row>
    <row r="468" spans="1:10" x14ac:dyDescent="0.25">
      <c r="A468" s="817">
        <v>51153001</v>
      </c>
      <c r="B468" s="818" t="s">
        <v>940</v>
      </c>
      <c r="C468" s="1110">
        <v>38090226</v>
      </c>
      <c r="D468" s="637"/>
      <c r="E468" s="1167">
        <v>51153001</v>
      </c>
      <c r="F468" s="1167" t="s">
        <v>940</v>
      </c>
      <c r="G468" s="1168">
        <v>38090226</v>
      </c>
      <c r="H468" s="828"/>
      <c r="I468" s="634">
        <f t="shared" si="30"/>
        <v>0</v>
      </c>
      <c r="J468" s="822">
        <f t="shared" si="31"/>
        <v>0</v>
      </c>
    </row>
    <row r="469" spans="1:10" x14ac:dyDescent="0.25">
      <c r="A469" s="817">
        <v>5120</v>
      </c>
      <c r="B469" s="818" t="s">
        <v>941</v>
      </c>
      <c r="C469" s="1110">
        <v>17483585</v>
      </c>
      <c r="D469" s="637"/>
      <c r="E469" s="1167">
        <v>5120</v>
      </c>
      <c r="F469" s="1167" t="s">
        <v>941</v>
      </c>
      <c r="G469" s="1168">
        <v>17483585</v>
      </c>
      <c r="H469" s="828"/>
      <c r="I469" s="634">
        <f t="shared" si="30"/>
        <v>0</v>
      </c>
      <c r="J469" s="822">
        <f t="shared" si="31"/>
        <v>0</v>
      </c>
    </row>
    <row r="470" spans="1:10" x14ac:dyDescent="0.25">
      <c r="A470" s="817">
        <v>512005</v>
      </c>
      <c r="B470" s="818" t="s">
        <v>942</v>
      </c>
      <c r="C470" s="795">
        <v>17483585</v>
      </c>
      <c r="D470" s="637"/>
      <c r="E470" s="1167">
        <v>512005</v>
      </c>
      <c r="F470" s="1167" t="s">
        <v>942</v>
      </c>
      <c r="G470" s="1168">
        <v>17483585</v>
      </c>
      <c r="H470" s="828"/>
      <c r="I470" s="634">
        <f t="shared" si="30"/>
        <v>0</v>
      </c>
      <c r="J470" s="822">
        <f t="shared" si="31"/>
        <v>0</v>
      </c>
    </row>
    <row r="471" spans="1:10" x14ac:dyDescent="0.25">
      <c r="A471" s="817">
        <v>51200501</v>
      </c>
      <c r="B471" s="818" t="s">
        <v>942</v>
      </c>
      <c r="C471" s="795">
        <v>17483585</v>
      </c>
      <c r="D471" s="637"/>
      <c r="E471" s="1167">
        <v>51200501</v>
      </c>
      <c r="F471" s="1167" t="s">
        <v>942</v>
      </c>
      <c r="G471" s="1168">
        <v>17483585</v>
      </c>
      <c r="H471" s="828"/>
      <c r="I471" s="634">
        <f t="shared" si="30"/>
        <v>0</v>
      </c>
      <c r="J471" s="822">
        <f t="shared" si="31"/>
        <v>0</v>
      </c>
    </row>
    <row r="472" spans="1:10" x14ac:dyDescent="0.25">
      <c r="A472" s="817">
        <v>5125</v>
      </c>
      <c r="B472" s="818" t="s">
        <v>97</v>
      </c>
      <c r="C472" s="1110">
        <v>81623884</v>
      </c>
      <c r="D472" s="637"/>
      <c r="E472" s="1167">
        <v>5125</v>
      </c>
      <c r="F472" s="1167" t="s">
        <v>97</v>
      </c>
      <c r="G472" s="1168">
        <v>81623884</v>
      </c>
      <c r="H472" s="828"/>
      <c r="I472" s="634">
        <f t="shared" si="30"/>
        <v>0</v>
      </c>
      <c r="J472" s="822">
        <f t="shared" si="31"/>
        <v>0</v>
      </c>
    </row>
    <row r="473" spans="1:10" x14ac:dyDescent="0.25">
      <c r="A473" s="817">
        <v>512515</v>
      </c>
      <c r="B473" s="818" t="s">
        <v>776</v>
      </c>
      <c r="C473" s="795">
        <v>49298484</v>
      </c>
      <c r="D473" s="637"/>
      <c r="E473" s="1167">
        <v>512515</v>
      </c>
      <c r="F473" s="1167" t="s">
        <v>776</v>
      </c>
      <c r="G473" s="1168">
        <v>49298484</v>
      </c>
      <c r="H473" s="828"/>
      <c r="I473" s="634">
        <f t="shared" si="30"/>
        <v>0</v>
      </c>
      <c r="J473" s="822">
        <f t="shared" si="31"/>
        <v>0</v>
      </c>
    </row>
    <row r="474" spans="1:10" x14ac:dyDescent="0.25">
      <c r="A474" s="817">
        <v>51251501</v>
      </c>
      <c r="B474" s="818" t="s">
        <v>790</v>
      </c>
      <c r="C474" s="795">
        <v>49298484</v>
      </c>
      <c r="D474" s="637"/>
      <c r="E474" s="1167">
        <v>51251501</v>
      </c>
      <c r="F474" s="1167" t="s">
        <v>790</v>
      </c>
      <c r="G474" s="1168">
        <v>49298484</v>
      </c>
      <c r="H474" s="828"/>
      <c r="I474" s="634">
        <f t="shared" si="30"/>
        <v>0</v>
      </c>
      <c r="J474" s="822">
        <f t="shared" si="31"/>
        <v>0</v>
      </c>
    </row>
    <row r="475" spans="1:10" x14ac:dyDescent="0.25">
      <c r="A475" s="817">
        <v>512520</v>
      </c>
      <c r="B475" s="818" t="s">
        <v>265</v>
      </c>
      <c r="C475" s="795">
        <v>9037200</v>
      </c>
      <c r="D475" s="637"/>
      <c r="E475" s="1167">
        <v>512520</v>
      </c>
      <c r="F475" s="1167" t="s">
        <v>265</v>
      </c>
      <c r="G475" s="1168">
        <v>9037200</v>
      </c>
      <c r="H475" s="828"/>
      <c r="I475" s="634">
        <f t="shared" si="30"/>
        <v>0</v>
      </c>
      <c r="J475" s="822">
        <f t="shared" si="31"/>
        <v>0</v>
      </c>
    </row>
    <row r="476" spans="1:10" x14ac:dyDescent="0.25">
      <c r="A476" s="817">
        <v>51252001</v>
      </c>
      <c r="B476" s="818" t="s">
        <v>791</v>
      </c>
      <c r="C476" s="795">
        <v>9037200</v>
      </c>
      <c r="D476" s="637"/>
      <c r="E476" s="1167">
        <v>51252001</v>
      </c>
      <c r="F476" s="1167" t="s">
        <v>791</v>
      </c>
      <c r="G476" s="1168">
        <v>9037200</v>
      </c>
      <c r="H476" s="828"/>
      <c r="I476" s="634">
        <f t="shared" si="30"/>
        <v>0</v>
      </c>
      <c r="J476" s="822">
        <f t="shared" si="31"/>
        <v>0</v>
      </c>
    </row>
    <row r="477" spans="1:10" x14ac:dyDescent="0.25">
      <c r="A477" s="817">
        <v>512525</v>
      </c>
      <c r="B477" s="818" t="s">
        <v>784</v>
      </c>
      <c r="C477" s="795">
        <v>23288200</v>
      </c>
      <c r="D477" s="637"/>
      <c r="E477" s="1167">
        <v>512525</v>
      </c>
      <c r="F477" s="1167" t="s">
        <v>784</v>
      </c>
      <c r="G477" s="1168">
        <v>23288200</v>
      </c>
      <c r="H477" s="828"/>
      <c r="I477" s="634">
        <f t="shared" si="30"/>
        <v>0</v>
      </c>
      <c r="J477" s="822">
        <f t="shared" si="31"/>
        <v>0</v>
      </c>
    </row>
    <row r="478" spans="1:10" x14ac:dyDescent="0.25">
      <c r="A478" s="817">
        <v>51252501</v>
      </c>
      <c r="B478" s="818" t="s">
        <v>943</v>
      </c>
      <c r="C478" s="795">
        <v>23288200</v>
      </c>
      <c r="D478" s="637"/>
      <c r="E478" s="1167">
        <v>51252501</v>
      </c>
      <c r="F478" s="1167" t="s">
        <v>943</v>
      </c>
      <c r="G478" s="1168">
        <v>23288200</v>
      </c>
      <c r="H478" s="828"/>
      <c r="I478" s="634">
        <f t="shared" si="30"/>
        <v>0</v>
      </c>
      <c r="J478" s="822">
        <f t="shared" si="31"/>
        <v>0</v>
      </c>
    </row>
    <row r="479" spans="1:10" x14ac:dyDescent="0.25">
      <c r="A479" s="817">
        <v>53</v>
      </c>
      <c r="B479" s="818" t="s">
        <v>106</v>
      </c>
      <c r="C479" s="795">
        <v>118519018.73</v>
      </c>
      <c r="D479" s="637"/>
      <c r="E479" s="1167">
        <v>53</v>
      </c>
      <c r="F479" s="1167" t="s">
        <v>106</v>
      </c>
      <c r="G479" s="1168">
        <v>118519018.73</v>
      </c>
      <c r="H479" s="828"/>
      <c r="I479" s="634">
        <f t="shared" si="30"/>
        <v>0</v>
      </c>
      <c r="J479" s="822">
        <f t="shared" si="31"/>
        <v>0</v>
      </c>
    </row>
    <row r="480" spans="1:10" x14ac:dyDescent="0.25">
      <c r="A480" s="817">
        <v>5305</v>
      </c>
      <c r="B480" s="818" t="s">
        <v>944</v>
      </c>
      <c r="C480" s="795">
        <v>118519018.73</v>
      </c>
      <c r="D480" s="637"/>
      <c r="E480" s="1167">
        <v>5305</v>
      </c>
      <c r="F480" s="1167" t="s">
        <v>944</v>
      </c>
      <c r="G480" s="1168">
        <v>118519018.73</v>
      </c>
      <c r="H480" s="828"/>
      <c r="I480" s="634">
        <f t="shared" si="30"/>
        <v>0</v>
      </c>
      <c r="J480" s="822">
        <f t="shared" si="31"/>
        <v>0</v>
      </c>
    </row>
    <row r="481" spans="1:10" x14ac:dyDescent="0.25">
      <c r="A481" s="817">
        <v>530505</v>
      </c>
      <c r="B481" s="818" t="s">
        <v>99</v>
      </c>
      <c r="C481" s="795">
        <v>63395446.329999998</v>
      </c>
      <c r="D481" s="637"/>
      <c r="E481" s="1167">
        <v>530505</v>
      </c>
      <c r="F481" s="1167" t="s">
        <v>99</v>
      </c>
      <c r="G481" s="1168">
        <v>63395446.329999998</v>
      </c>
      <c r="H481" s="828"/>
      <c r="I481" s="634">
        <f t="shared" si="30"/>
        <v>0</v>
      </c>
      <c r="J481" s="822">
        <f t="shared" si="31"/>
        <v>0</v>
      </c>
    </row>
    <row r="482" spans="1:10" x14ac:dyDescent="0.25">
      <c r="A482" s="817">
        <v>53050501</v>
      </c>
      <c r="B482" s="818" t="s">
        <v>945</v>
      </c>
      <c r="C482" s="795">
        <v>0</v>
      </c>
      <c r="D482" s="637"/>
      <c r="E482" s="1167">
        <v>53050501</v>
      </c>
      <c r="F482" s="1167" t="s">
        <v>945</v>
      </c>
      <c r="G482" s="1168">
        <v>0</v>
      </c>
      <c r="H482" s="828"/>
      <c r="I482" s="634">
        <f t="shared" si="30"/>
        <v>0</v>
      </c>
      <c r="J482" s="822">
        <f t="shared" si="31"/>
        <v>0</v>
      </c>
    </row>
    <row r="483" spans="1:10" x14ac:dyDescent="0.25">
      <c r="A483" s="817">
        <v>53050502</v>
      </c>
      <c r="B483" s="818" t="s">
        <v>241</v>
      </c>
      <c r="C483" s="795">
        <v>32153751.329999998</v>
      </c>
      <c r="D483" s="637"/>
      <c r="E483" s="1167">
        <v>53050502</v>
      </c>
      <c r="F483" s="1167" t="s">
        <v>241</v>
      </c>
      <c r="G483" s="1168">
        <v>32153751.329999998</v>
      </c>
      <c r="H483" s="828"/>
      <c r="I483" s="634">
        <f t="shared" si="30"/>
        <v>0</v>
      </c>
      <c r="J483" s="822">
        <f t="shared" si="31"/>
        <v>0</v>
      </c>
    </row>
    <row r="484" spans="1:10" x14ac:dyDescent="0.25">
      <c r="A484" s="817">
        <v>53050503</v>
      </c>
      <c r="B484" s="818" t="s">
        <v>946</v>
      </c>
      <c r="C484" s="795">
        <v>14688353</v>
      </c>
      <c r="D484" s="637"/>
      <c r="E484" s="1167">
        <v>53050503</v>
      </c>
      <c r="F484" s="1167" t="s">
        <v>946</v>
      </c>
      <c r="G484" s="1168">
        <v>14688353</v>
      </c>
      <c r="H484" s="828"/>
      <c r="I484" s="634">
        <f t="shared" si="30"/>
        <v>0</v>
      </c>
      <c r="J484" s="822">
        <f t="shared" si="31"/>
        <v>0</v>
      </c>
    </row>
    <row r="485" spans="1:10" x14ac:dyDescent="0.25">
      <c r="A485" s="817">
        <v>53050504</v>
      </c>
      <c r="B485" s="818" t="s">
        <v>947</v>
      </c>
      <c r="C485" s="795">
        <v>13022202</v>
      </c>
      <c r="D485" s="637"/>
      <c r="E485" s="1167">
        <v>53050504</v>
      </c>
      <c r="F485" s="1167" t="s">
        <v>947</v>
      </c>
      <c r="G485" s="1168">
        <v>13022202</v>
      </c>
      <c r="H485" s="828"/>
      <c r="I485" s="634">
        <f t="shared" si="30"/>
        <v>0</v>
      </c>
      <c r="J485" s="822">
        <f t="shared" si="31"/>
        <v>0</v>
      </c>
    </row>
    <row r="486" spans="1:10" x14ac:dyDescent="0.25">
      <c r="A486" s="634">
        <v>53050505</v>
      </c>
      <c r="B486" s="634" t="s">
        <v>948</v>
      </c>
      <c r="C486" s="795">
        <v>3531140</v>
      </c>
      <c r="D486" s="637"/>
      <c r="E486" s="1167">
        <v>53050505</v>
      </c>
      <c r="F486" s="1167" t="s">
        <v>948</v>
      </c>
      <c r="G486" s="1168">
        <v>3531140</v>
      </c>
      <c r="H486" s="828"/>
      <c r="I486" s="634">
        <f t="shared" si="30"/>
        <v>0</v>
      </c>
      <c r="J486" s="822">
        <f t="shared" si="31"/>
        <v>0</v>
      </c>
    </row>
    <row r="487" spans="1:10" x14ac:dyDescent="0.25">
      <c r="A487" s="634">
        <v>530550</v>
      </c>
      <c r="B487" s="634" t="s">
        <v>949</v>
      </c>
      <c r="C487" s="795">
        <v>55123572.399999999</v>
      </c>
      <c r="D487" s="637"/>
      <c r="E487" s="1167">
        <v>530550</v>
      </c>
      <c r="F487" s="1167" t="s">
        <v>949</v>
      </c>
      <c r="G487" s="1168">
        <v>55123572.399999999</v>
      </c>
      <c r="H487" s="828"/>
      <c r="I487" s="634">
        <f t="shared" si="30"/>
        <v>0</v>
      </c>
      <c r="J487" s="822">
        <f t="shared" si="31"/>
        <v>0</v>
      </c>
    </row>
    <row r="488" spans="1:10" x14ac:dyDescent="0.25">
      <c r="A488" s="634">
        <v>53055001</v>
      </c>
      <c r="B488" s="634" t="s">
        <v>950</v>
      </c>
      <c r="C488" s="795">
        <v>55123572.399999999</v>
      </c>
      <c r="D488" s="637"/>
      <c r="E488" s="1167">
        <v>53055001</v>
      </c>
      <c r="F488" s="1167" t="s">
        <v>950</v>
      </c>
      <c r="G488" s="1168">
        <v>55123572.399999999</v>
      </c>
      <c r="H488" s="828"/>
      <c r="I488" s="634">
        <f t="shared" si="30"/>
        <v>0</v>
      </c>
      <c r="J488" s="822">
        <f t="shared" si="31"/>
        <v>0</v>
      </c>
    </row>
    <row r="489" spans="1:10" x14ac:dyDescent="0.25">
      <c r="A489" s="634">
        <v>6</v>
      </c>
      <c r="B489" s="634" t="s">
        <v>951</v>
      </c>
      <c r="C489" s="795">
        <v>2989910993.0500002</v>
      </c>
      <c r="D489" s="637"/>
      <c r="E489" s="1167">
        <v>6</v>
      </c>
      <c r="F489" s="1167" t="s">
        <v>951</v>
      </c>
      <c r="G489" s="1168">
        <v>2989910993.0500002</v>
      </c>
      <c r="H489" s="828"/>
      <c r="I489" s="634">
        <f t="shared" si="30"/>
        <v>0</v>
      </c>
      <c r="J489" s="822">
        <f t="shared" si="31"/>
        <v>0</v>
      </c>
    </row>
    <row r="490" spans="1:10" x14ac:dyDescent="0.25">
      <c r="A490" s="634">
        <v>61</v>
      </c>
      <c r="B490" s="634" t="s">
        <v>208</v>
      </c>
      <c r="C490" s="795">
        <v>2989910993.0500002</v>
      </c>
      <c r="D490" s="637"/>
      <c r="E490" s="1167">
        <v>61</v>
      </c>
      <c r="F490" s="1167" t="s">
        <v>208</v>
      </c>
      <c r="G490" s="1168">
        <v>2989910993.0500002</v>
      </c>
      <c r="H490" s="828"/>
      <c r="I490" s="634">
        <f t="shared" si="30"/>
        <v>0</v>
      </c>
      <c r="J490" s="822">
        <f t="shared" si="31"/>
        <v>0</v>
      </c>
    </row>
    <row r="491" spans="1:10" x14ac:dyDescent="0.25">
      <c r="A491" s="634">
        <v>6150</v>
      </c>
      <c r="B491" s="634" t="s">
        <v>210</v>
      </c>
      <c r="C491" s="795">
        <v>1793675124.3399999</v>
      </c>
      <c r="D491" s="637"/>
      <c r="E491" s="1167">
        <v>6150</v>
      </c>
      <c r="F491" s="1167" t="s">
        <v>210</v>
      </c>
      <c r="G491" s="1168">
        <v>1793675124.3399999</v>
      </c>
      <c r="H491" s="828"/>
      <c r="I491" s="634">
        <f t="shared" si="30"/>
        <v>0</v>
      </c>
      <c r="J491" s="822">
        <f t="shared" si="31"/>
        <v>0</v>
      </c>
    </row>
    <row r="492" spans="1:10" x14ac:dyDescent="0.25">
      <c r="A492" s="634">
        <v>61500503</v>
      </c>
      <c r="B492" s="634" t="s">
        <v>1324</v>
      </c>
      <c r="C492" s="795">
        <v>18171910</v>
      </c>
      <c r="D492" s="637"/>
      <c r="E492" s="1167">
        <v>61500503</v>
      </c>
      <c r="F492" s="1167" t="s">
        <v>1324</v>
      </c>
      <c r="G492" s="1168">
        <v>18171910</v>
      </c>
      <c r="H492" s="828"/>
      <c r="I492" s="634">
        <f t="shared" si="30"/>
        <v>0</v>
      </c>
      <c r="J492" s="822">
        <f t="shared" si="31"/>
        <v>0</v>
      </c>
    </row>
    <row r="493" spans="1:10" x14ac:dyDescent="0.25">
      <c r="A493" s="634">
        <v>615010</v>
      </c>
      <c r="B493" s="634" t="s">
        <v>952</v>
      </c>
      <c r="C493" s="795">
        <v>1721578159.3399999</v>
      </c>
      <c r="D493" s="637"/>
      <c r="E493" s="1167">
        <v>615010</v>
      </c>
      <c r="F493" s="1167" t="s">
        <v>952</v>
      </c>
      <c r="G493" s="1168">
        <v>1721578159.3399999</v>
      </c>
      <c r="H493" s="828"/>
      <c r="I493" s="634">
        <f t="shared" si="30"/>
        <v>0</v>
      </c>
      <c r="J493" s="822">
        <f t="shared" si="31"/>
        <v>0</v>
      </c>
    </row>
    <row r="494" spans="1:10" x14ac:dyDescent="0.25">
      <c r="A494" s="634">
        <v>61501001</v>
      </c>
      <c r="B494" s="634" t="s">
        <v>953</v>
      </c>
      <c r="C494" s="795">
        <v>1721578159.3399999</v>
      </c>
      <c r="D494" s="637"/>
      <c r="E494" s="1167">
        <v>61501001</v>
      </c>
      <c r="F494" s="1167" t="s">
        <v>953</v>
      </c>
      <c r="G494" s="1168">
        <v>1721578159.3399999</v>
      </c>
      <c r="H494" s="828"/>
      <c r="I494" s="634">
        <f t="shared" si="30"/>
        <v>0</v>
      </c>
      <c r="J494" s="822">
        <f t="shared" si="31"/>
        <v>0</v>
      </c>
    </row>
    <row r="495" spans="1:10" x14ac:dyDescent="0.25">
      <c r="A495" s="634">
        <v>615015</v>
      </c>
      <c r="B495" s="634" t="s">
        <v>954</v>
      </c>
      <c r="C495" s="795">
        <v>53925055</v>
      </c>
      <c r="D495" s="637"/>
      <c r="E495" s="1167">
        <v>615015</v>
      </c>
      <c r="F495" s="1167" t="s">
        <v>954</v>
      </c>
      <c r="G495" s="1168">
        <v>53925055</v>
      </c>
      <c r="H495" s="828"/>
      <c r="I495" s="634">
        <f t="shared" si="30"/>
        <v>0</v>
      </c>
      <c r="J495" s="822">
        <f t="shared" si="31"/>
        <v>0</v>
      </c>
    </row>
    <row r="496" spans="1:10" x14ac:dyDescent="0.25">
      <c r="A496" s="634">
        <v>61501501</v>
      </c>
      <c r="B496" s="634" t="s">
        <v>955</v>
      </c>
      <c r="C496" s="795">
        <v>53925055</v>
      </c>
      <c r="D496" s="637"/>
      <c r="E496" s="1167">
        <v>61501501</v>
      </c>
      <c r="F496" s="1167" t="s">
        <v>955</v>
      </c>
      <c r="G496" s="1168">
        <v>53925055</v>
      </c>
      <c r="H496" s="828"/>
      <c r="I496" s="634">
        <f t="shared" si="30"/>
        <v>0</v>
      </c>
      <c r="J496" s="822">
        <f t="shared" si="31"/>
        <v>0</v>
      </c>
    </row>
    <row r="497" spans="1:10" x14ac:dyDescent="0.25">
      <c r="A497" s="634">
        <v>6175</v>
      </c>
      <c r="B497" s="634" t="s">
        <v>956</v>
      </c>
      <c r="C497" s="795">
        <v>1196235868.71</v>
      </c>
      <c r="D497" s="637"/>
      <c r="E497" s="1167">
        <v>6175</v>
      </c>
      <c r="F497" s="1167" t="s">
        <v>956</v>
      </c>
      <c r="G497" s="1168">
        <v>1196235868.71</v>
      </c>
      <c r="H497" s="828"/>
      <c r="I497" s="634">
        <f t="shared" si="30"/>
        <v>0</v>
      </c>
      <c r="J497" s="822">
        <f t="shared" si="31"/>
        <v>0</v>
      </c>
    </row>
    <row r="498" spans="1:10" x14ac:dyDescent="0.25">
      <c r="A498" s="1079">
        <v>61755002</v>
      </c>
      <c r="B498" s="1079" t="s">
        <v>1451</v>
      </c>
      <c r="C498" s="795">
        <v>8486317</v>
      </c>
      <c r="D498" s="637"/>
      <c r="E498" s="1167">
        <v>61755002</v>
      </c>
      <c r="F498" s="1167" t="s">
        <v>1451</v>
      </c>
      <c r="G498" s="1168">
        <v>8486317</v>
      </c>
      <c r="H498" s="828"/>
      <c r="I498" s="634">
        <f t="shared" si="30"/>
        <v>0</v>
      </c>
      <c r="J498" s="822">
        <f t="shared" si="31"/>
        <v>0</v>
      </c>
    </row>
    <row r="499" spans="1:10" x14ac:dyDescent="0.25">
      <c r="A499" s="634">
        <v>617520</v>
      </c>
      <c r="B499" s="634" t="s">
        <v>54</v>
      </c>
      <c r="C499" s="795">
        <v>598001884</v>
      </c>
      <c r="D499" s="637"/>
      <c r="E499" s="1167">
        <v>617520</v>
      </c>
      <c r="F499" s="1167" t="s">
        <v>54</v>
      </c>
      <c r="G499" s="1168">
        <v>598001884</v>
      </c>
      <c r="H499" s="828"/>
      <c r="I499" s="634">
        <f t="shared" si="30"/>
        <v>0</v>
      </c>
      <c r="J499" s="822">
        <f t="shared" si="31"/>
        <v>0</v>
      </c>
    </row>
    <row r="500" spans="1:10" x14ac:dyDescent="0.25">
      <c r="A500" s="634">
        <v>61752001</v>
      </c>
      <c r="B500" s="634" t="s">
        <v>957</v>
      </c>
      <c r="C500" s="795">
        <v>598001884</v>
      </c>
      <c r="D500" s="637"/>
      <c r="E500" s="1167">
        <v>61752001</v>
      </c>
      <c r="F500" s="1167" t="s">
        <v>957</v>
      </c>
      <c r="G500" s="1168">
        <v>598001884</v>
      </c>
      <c r="H500" s="828"/>
      <c r="I500" s="634">
        <f t="shared" si="30"/>
        <v>0</v>
      </c>
      <c r="J500" s="822">
        <f t="shared" si="31"/>
        <v>0</v>
      </c>
    </row>
    <row r="501" spans="1:10" x14ac:dyDescent="0.25">
      <c r="A501" s="634">
        <v>617550</v>
      </c>
      <c r="B501" s="634" t="s">
        <v>958</v>
      </c>
      <c r="C501" s="795">
        <v>589747667.71000004</v>
      </c>
      <c r="D501" s="637"/>
      <c r="E501" s="1167">
        <v>617550</v>
      </c>
      <c r="F501" s="1167" t="s">
        <v>958</v>
      </c>
      <c r="G501" s="1168">
        <v>589747667.71000004</v>
      </c>
      <c r="H501" s="828"/>
      <c r="I501" s="634">
        <f t="shared" si="30"/>
        <v>0</v>
      </c>
      <c r="J501" s="822">
        <f t="shared" si="31"/>
        <v>0</v>
      </c>
    </row>
    <row r="502" spans="1:10" x14ac:dyDescent="0.25">
      <c r="A502" s="634">
        <v>61755001</v>
      </c>
      <c r="B502" s="634" t="s">
        <v>959</v>
      </c>
      <c r="C502" s="795">
        <v>589747667.71000004</v>
      </c>
      <c r="D502" s="637"/>
      <c r="E502" s="1167">
        <v>61755001</v>
      </c>
      <c r="F502" s="1167" t="s">
        <v>959</v>
      </c>
      <c r="G502" s="1168">
        <v>589747667.71000004</v>
      </c>
      <c r="H502" s="828"/>
      <c r="I502" s="634">
        <f t="shared" si="30"/>
        <v>0</v>
      </c>
      <c r="J502" s="822">
        <f t="shared" si="31"/>
        <v>0</v>
      </c>
    </row>
    <row r="503" spans="1:10" x14ac:dyDescent="0.25">
      <c r="D503" s="637"/>
      <c r="E503" s="1167"/>
      <c r="F503" s="1167"/>
      <c r="G503" s="1168"/>
      <c r="H503" s="828"/>
      <c r="J503" s="822"/>
    </row>
    <row r="504" spans="1:10" x14ac:dyDescent="0.25">
      <c r="D504" s="637"/>
      <c r="E504" s="1167"/>
      <c r="F504" s="1167"/>
      <c r="G504" s="1168"/>
      <c r="H504" s="828"/>
      <c r="J504" s="822"/>
    </row>
    <row r="505" spans="1:10" x14ac:dyDescent="0.25">
      <c r="D505" s="637"/>
      <c r="E505" s="1167">
        <v>8</v>
      </c>
      <c r="F505" s="1167" t="s">
        <v>960</v>
      </c>
      <c r="G505" s="1168">
        <v>0</v>
      </c>
      <c r="H505" s="828"/>
      <c r="J505" s="822"/>
    </row>
    <row r="506" spans="1:10" x14ac:dyDescent="0.25">
      <c r="A506" s="634">
        <v>8</v>
      </c>
      <c r="B506" s="634" t="s">
        <v>960</v>
      </c>
      <c r="C506" s="795">
        <v>0</v>
      </c>
      <c r="D506" s="637"/>
      <c r="E506" s="1167">
        <v>81</v>
      </c>
      <c r="F506" s="1167" t="s">
        <v>961</v>
      </c>
      <c r="G506" s="1168">
        <v>484219460</v>
      </c>
      <c r="H506" s="828"/>
      <c r="I506" s="634">
        <f t="shared" ref="I506:I519" si="32">+A506-E464</f>
        <v>-51151493</v>
      </c>
      <c r="J506" s="822">
        <f t="shared" ref="J506:J519" si="33">+C506-G464</f>
        <v>-471519112</v>
      </c>
    </row>
    <row r="507" spans="1:10" x14ac:dyDescent="0.25">
      <c r="A507" s="634">
        <v>81</v>
      </c>
      <c r="B507" s="634" t="s">
        <v>961</v>
      </c>
      <c r="C507" s="795">
        <v>265298902</v>
      </c>
      <c r="D507" s="637"/>
      <c r="E507" s="1167">
        <v>8120</v>
      </c>
      <c r="F507" s="1167" t="s">
        <v>962</v>
      </c>
      <c r="G507" s="1168">
        <v>484219460</v>
      </c>
      <c r="H507" s="828"/>
      <c r="I507" s="634">
        <f t="shared" si="32"/>
        <v>-511443</v>
      </c>
      <c r="J507" s="822">
        <f t="shared" si="33"/>
        <v>242748906</v>
      </c>
    </row>
    <row r="508" spans="1:10" x14ac:dyDescent="0.25">
      <c r="A508" s="634">
        <v>8120</v>
      </c>
      <c r="B508" s="634" t="s">
        <v>962</v>
      </c>
      <c r="C508" s="795">
        <v>265298902</v>
      </c>
      <c r="E508" s="1167">
        <v>812026</v>
      </c>
      <c r="F508" s="1167" t="s">
        <v>754</v>
      </c>
      <c r="G508" s="1168">
        <v>13462338</v>
      </c>
      <c r="H508" s="828"/>
      <c r="I508" s="634">
        <f t="shared" si="32"/>
        <v>-51144281</v>
      </c>
      <c r="J508" s="822">
        <f t="shared" si="33"/>
        <v>242748906</v>
      </c>
    </row>
    <row r="509" spans="1:10" x14ac:dyDescent="0.25">
      <c r="A509" s="634">
        <v>812026</v>
      </c>
      <c r="B509" s="634" t="s">
        <v>754</v>
      </c>
      <c r="C509" s="795">
        <v>20557470</v>
      </c>
      <c r="E509" s="1167">
        <v>81202601</v>
      </c>
      <c r="F509" s="1167" t="s">
        <v>963</v>
      </c>
      <c r="G509" s="1168">
        <v>13342534</v>
      </c>
      <c r="H509" s="828"/>
      <c r="I509" s="634">
        <f t="shared" si="32"/>
        <v>300496</v>
      </c>
      <c r="J509" s="822">
        <f t="shared" si="33"/>
        <v>-17532756</v>
      </c>
    </row>
    <row r="510" spans="1:10" x14ac:dyDescent="0.25">
      <c r="A510" s="634">
        <v>81202601</v>
      </c>
      <c r="B510" s="634" t="s">
        <v>963</v>
      </c>
      <c r="C510" s="795">
        <v>19584244</v>
      </c>
      <c r="E510" s="1167">
        <v>81202602</v>
      </c>
      <c r="F510" s="1167" t="s">
        <v>964</v>
      </c>
      <c r="G510" s="1168">
        <v>119804</v>
      </c>
      <c r="H510" s="828"/>
      <c r="I510" s="634">
        <f t="shared" si="32"/>
        <v>30049600</v>
      </c>
      <c r="J510" s="822">
        <f t="shared" si="33"/>
        <v>-18505982</v>
      </c>
    </row>
    <row r="511" spans="1:10" x14ac:dyDescent="0.25">
      <c r="A511" s="634">
        <v>81202602</v>
      </c>
      <c r="B511" s="634" t="s">
        <v>964</v>
      </c>
      <c r="C511" s="795">
        <v>973226</v>
      </c>
      <c r="E511" s="1167">
        <v>812028</v>
      </c>
      <c r="F511" s="1167" t="s">
        <v>756</v>
      </c>
      <c r="G511" s="1168">
        <v>19614806</v>
      </c>
      <c r="H511" s="828"/>
      <c r="I511" s="634">
        <f t="shared" si="32"/>
        <v>81197482</v>
      </c>
      <c r="J511" s="822">
        <f t="shared" si="33"/>
        <v>-16510359</v>
      </c>
    </row>
    <row r="512" spans="1:10" x14ac:dyDescent="0.25">
      <c r="A512" s="634">
        <v>812028</v>
      </c>
      <c r="B512" s="634" t="s">
        <v>756</v>
      </c>
      <c r="C512" s="795">
        <v>11950350</v>
      </c>
      <c r="E512" s="1167">
        <v>81202801</v>
      </c>
      <c r="F512" s="1167" t="s">
        <v>965</v>
      </c>
      <c r="G512" s="1168">
        <v>18686491</v>
      </c>
      <c r="H512" s="828"/>
      <c r="I512" s="634">
        <f t="shared" si="32"/>
        <v>300023</v>
      </c>
      <c r="J512" s="822">
        <f t="shared" si="33"/>
        <v>-5533235</v>
      </c>
    </row>
    <row r="513" spans="1:10" x14ac:dyDescent="0.25">
      <c r="A513" s="634">
        <v>81202801</v>
      </c>
      <c r="B513" s="634" t="s">
        <v>965</v>
      </c>
      <c r="C513" s="795">
        <v>9275495</v>
      </c>
      <c r="E513" s="1167">
        <v>81202802</v>
      </c>
      <c r="F513" s="1167" t="s">
        <v>966</v>
      </c>
      <c r="G513" s="1168">
        <v>928315</v>
      </c>
      <c r="H513" s="828"/>
      <c r="I513" s="634">
        <f t="shared" si="32"/>
        <v>30002300</v>
      </c>
      <c r="J513" s="822">
        <f t="shared" si="33"/>
        <v>-8208090</v>
      </c>
    </row>
    <row r="514" spans="1:10" x14ac:dyDescent="0.25">
      <c r="A514" s="634">
        <v>81202802</v>
      </c>
      <c r="B514" s="634" t="s">
        <v>966</v>
      </c>
      <c r="C514" s="795">
        <v>2674855</v>
      </c>
      <c r="E514" s="1167">
        <v>812030</v>
      </c>
      <c r="F514" s="1167" t="s">
        <v>759</v>
      </c>
      <c r="G514" s="1168">
        <v>451142316</v>
      </c>
      <c r="H514" s="828"/>
      <c r="I514" s="634">
        <f t="shared" si="32"/>
        <v>81197677</v>
      </c>
      <c r="J514" s="822">
        <f t="shared" si="33"/>
        <v>-78949029</v>
      </c>
    </row>
    <row r="515" spans="1:10" x14ac:dyDescent="0.25">
      <c r="A515" s="634">
        <v>812030</v>
      </c>
      <c r="B515" s="634" t="s">
        <v>759</v>
      </c>
      <c r="C515" s="795">
        <v>232791082</v>
      </c>
      <c r="E515" s="1167">
        <v>81203001</v>
      </c>
      <c r="F515" s="1167" t="s">
        <v>967</v>
      </c>
      <c r="G515" s="1168">
        <v>157013678</v>
      </c>
      <c r="H515" s="828"/>
      <c r="I515" s="634">
        <f t="shared" si="32"/>
        <v>299515</v>
      </c>
      <c r="J515" s="822">
        <f t="shared" si="33"/>
        <v>183492598</v>
      </c>
    </row>
    <row r="516" spans="1:10" x14ac:dyDescent="0.25">
      <c r="A516" s="634">
        <v>81203001</v>
      </c>
      <c r="B516" s="634" t="s">
        <v>967</v>
      </c>
      <c r="C516" s="795">
        <v>99218242</v>
      </c>
      <c r="E516" s="1167">
        <v>81203002</v>
      </c>
      <c r="F516" s="1167" t="s">
        <v>968</v>
      </c>
      <c r="G516" s="1168">
        <v>294128638</v>
      </c>
      <c r="H516" s="828"/>
      <c r="I516" s="634">
        <f t="shared" si="32"/>
        <v>29951500</v>
      </c>
      <c r="J516" s="822">
        <f t="shared" si="33"/>
        <v>49919758</v>
      </c>
    </row>
    <row r="517" spans="1:10" x14ac:dyDescent="0.25">
      <c r="A517" s="634">
        <v>81203002</v>
      </c>
      <c r="B517" s="634" t="s">
        <v>968</v>
      </c>
      <c r="C517" s="795">
        <v>133572840</v>
      </c>
      <c r="E517" s="1167">
        <v>83</v>
      </c>
      <c r="F517" s="1167" t="s">
        <v>1325</v>
      </c>
      <c r="G517" s="1168">
        <v>313137695</v>
      </c>
      <c r="H517" s="828"/>
      <c r="I517" s="634">
        <f t="shared" si="32"/>
        <v>80690482</v>
      </c>
      <c r="J517" s="822">
        <f t="shared" si="33"/>
        <v>124535640</v>
      </c>
    </row>
    <row r="518" spans="1:10" x14ac:dyDescent="0.25">
      <c r="A518" s="634">
        <v>83</v>
      </c>
      <c r="B518" s="634" t="s">
        <v>1325</v>
      </c>
      <c r="C518" s="795">
        <v>82343645</v>
      </c>
      <c r="E518" s="1167">
        <v>8310</v>
      </c>
      <c r="F518" s="1167" t="s">
        <v>1326</v>
      </c>
      <c r="G518" s="1168">
        <v>313137695</v>
      </c>
      <c r="H518" s="828"/>
      <c r="I518" s="634">
        <f t="shared" si="32"/>
        <v>-51251918</v>
      </c>
      <c r="J518" s="822">
        <f t="shared" si="33"/>
        <v>73306445</v>
      </c>
    </row>
    <row r="519" spans="1:10" x14ac:dyDescent="0.25">
      <c r="A519" s="634">
        <v>8310</v>
      </c>
      <c r="B519" s="634" t="s">
        <v>1326</v>
      </c>
      <c r="C519" s="795">
        <v>82343645</v>
      </c>
      <c r="E519" s="1167">
        <v>831015</v>
      </c>
      <c r="F519" s="1167" t="s">
        <v>1327</v>
      </c>
      <c r="G519" s="1168">
        <v>140888349</v>
      </c>
      <c r="H519" s="828"/>
      <c r="I519" s="634">
        <f t="shared" si="32"/>
        <v>-504215</v>
      </c>
      <c r="J519" s="822">
        <f t="shared" si="33"/>
        <v>59055445</v>
      </c>
    </row>
    <row r="520" spans="1:10" x14ac:dyDescent="0.25">
      <c r="A520" s="634">
        <v>831015</v>
      </c>
      <c r="B520" s="634" t="s">
        <v>1327</v>
      </c>
      <c r="C520" s="795">
        <v>46826649</v>
      </c>
      <c r="E520" s="1167">
        <v>83101501</v>
      </c>
      <c r="F520" s="1167" t="s">
        <v>1328</v>
      </c>
      <c r="G520" s="1168">
        <v>140888349</v>
      </c>
      <c r="H520" s="828"/>
      <c r="J520" s="822">
        <f>+C517-G431</f>
        <v>102256156</v>
      </c>
    </row>
    <row r="521" spans="1:10" x14ac:dyDescent="0.25">
      <c r="A521" s="634">
        <v>83101501</v>
      </c>
      <c r="B521" s="634" t="s">
        <v>1328</v>
      </c>
      <c r="C521" s="795">
        <v>46826649</v>
      </c>
      <c r="E521" s="1167">
        <v>831025</v>
      </c>
      <c r="F521" s="1167" t="s">
        <v>172</v>
      </c>
      <c r="G521" s="1168">
        <v>172249346</v>
      </c>
      <c r="H521" s="828"/>
      <c r="J521" s="822">
        <f>+C518-G432</f>
        <v>51026961</v>
      </c>
    </row>
    <row r="522" spans="1:10" x14ac:dyDescent="0.25">
      <c r="A522" s="634">
        <v>831025</v>
      </c>
      <c r="B522" s="634" t="s">
        <v>172</v>
      </c>
      <c r="C522" s="795">
        <v>35516996</v>
      </c>
      <c r="E522" s="1167">
        <v>83102501</v>
      </c>
      <c r="F522" s="1167" t="s">
        <v>1329</v>
      </c>
      <c r="G522" s="1168">
        <v>6191907</v>
      </c>
      <c r="H522" s="828"/>
      <c r="J522" s="822">
        <f>+C519-G433</f>
        <v>71632785</v>
      </c>
    </row>
    <row r="523" spans="1:10" x14ac:dyDescent="0.25">
      <c r="A523" s="634">
        <v>83102501</v>
      </c>
      <c r="B523" s="634" t="s">
        <v>1329</v>
      </c>
      <c r="C523" s="795">
        <v>2368765</v>
      </c>
      <c r="E523" s="1167">
        <v>83102502</v>
      </c>
      <c r="F523" s="1167" t="s">
        <v>1330</v>
      </c>
      <c r="G523" s="1168">
        <v>403065</v>
      </c>
      <c r="H523" s="828"/>
      <c r="J523" s="822">
        <f t="shared" ref="J523:J528" si="34">+C520-G437</f>
        <v>9248643</v>
      </c>
    </row>
    <row r="524" spans="1:10" x14ac:dyDescent="0.25">
      <c r="A524" s="634">
        <v>83102502</v>
      </c>
      <c r="B524" s="634" t="s">
        <v>1330</v>
      </c>
      <c r="C524" s="795">
        <v>94533</v>
      </c>
      <c r="E524" s="1167">
        <v>83102503</v>
      </c>
      <c r="F524" s="1167" t="s">
        <v>1331</v>
      </c>
      <c r="G524" s="1168">
        <v>26097694</v>
      </c>
      <c r="H524" s="828"/>
      <c r="J524" s="822">
        <f t="shared" si="34"/>
        <v>9248643</v>
      </c>
    </row>
    <row r="525" spans="1:10" x14ac:dyDescent="0.25">
      <c r="A525" s="634">
        <v>83102503</v>
      </c>
      <c r="B525" s="634" t="s">
        <v>1331</v>
      </c>
      <c r="C525" s="795">
        <v>5899596</v>
      </c>
      <c r="E525" s="1167">
        <v>83102504</v>
      </c>
      <c r="F525" s="1167" t="s">
        <v>1332</v>
      </c>
      <c r="G525" s="1168">
        <v>139556680</v>
      </c>
      <c r="H525" s="828"/>
      <c r="J525" s="822">
        <f t="shared" si="34"/>
        <v>20853282</v>
      </c>
    </row>
    <row r="526" spans="1:10" x14ac:dyDescent="0.25">
      <c r="A526" s="634">
        <v>83102504</v>
      </c>
      <c r="B526" s="634" t="s">
        <v>1332</v>
      </c>
      <c r="C526" s="795">
        <v>27154102</v>
      </c>
      <c r="E526" s="1167">
        <v>86</v>
      </c>
      <c r="F526" s="1167" t="s">
        <v>969</v>
      </c>
      <c r="G526" s="1168">
        <v>-484219460</v>
      </c>
      <c r="H526" s="828"/>
      <c r="J526" s="822">
        <f t="shared" si="34"/>
        <v>-12294949</v>
      </c>
    </row>
    <row r="527" spans="1:10" x14ac:dyDescent="0.25">
      <c r="A527" s="634">
        <v>86</v>
      </c>
      <c r="B527" s="634" t="s">
        <v>969</v>
      </c>
      <c r="C527" s="795">
        <v>-265298902</v>
      </c>
      <c r="E527" s="1167">
        <v>8605</v>
      </c>
      <c r="F527" s="1167" t="s">
        <v>970</v>
      </c>
      <c r="G527" s="1168">
        <v>-484219460</v>
      </c>
      <c r="H527" s="828"/>
      <c r="J527" s="822">
        <f t="shared" si="34"/>
        <v>-59513020</v>
      </c>
    </row>
    <row r="528" spans="1:10" x14ac:dyDescent="0.25">
      <c r="A528" s="634">
        <v>8605</v>
      </c>
      <c r="B528" s="634" t="s">
        <v>970</v>
      </c>
      <c r="C528" s="795">
        <v>-265298902</v>
      </c>
      <c r="E528" s="1167">
        <v>860501</v>
      </c>
      <c r="F528" s="1167" t="s">
        <v>971</v>
      </c>
      <c r="G528" s="1168">
        <v>-484219460</v>
      </c>
      <c r="H528" s="828"/>
      <c r="J528" s="822">
        <f t="shared" si="34"/>
        <v>-34991311</v>
      </c>
    </row>
    <row r="529" spans="1:10" x14ac:dyDescent="0.25">
      <c r="A529" s="634">
        <v>860501</v>
      </c>
      <c r="B529" s="634" t="s">
        <v>971</v>
      </c>
      <c r="C529" s="795">
        <v>-265298902</v>
      </c>
      <c r="E529" s="1167">
        <v>86050101</v>
      </c>
      <c r="F529" s="1167" t="s">
        <v>972</v>
      </c>
      <c r="G529" s="1168">
        <v>-484219460</v>
      </c>
      <c r="H529" s="828"/>
      <c r="J529" s="822">
        <f>+C525-G442</f>
        <v>-34991311</v>
      </c>
    </row>
    <row r="530" spans="1:10" x14ac:dyDescent="0.25">
      <c r="A530" s="634">
        <v>86050101</v>
      </c>
      <c r="B530" s="634" t="s">
        <v>972</v>
      </c>
      <c r="C530" s="795">
        <v>-265298902</v>
      </c>
      <c r="E530" s="1167">
        <v>88</v>
      </c>
      <c r="F530" s="1167" t="s">
        <v>1333</v>
      </c>
      <c r="G530" s="1168">
        <v>-313137695</v>
      </c>
      <c r="H530" s="828"/>
      <c r="J530" s="822"/>
    </row>
    <row r="531" spans="1:10" x14ac:dyDescent="0.25">
      <c r="A531" s="634">
        <v>88</v>
      </c>
      <c r="B531" s="634" t="s">
        <v>1333</v>
      </c>
      <c r="C531" s="795">
        <v>-82343645</v>
      </c>
      <c r="E531" s="1167">
        <v>8805</v>
      </c>
      <c r="F531" s="1167" t="s">
        <v>1333</v>
      </c>
      <c r="G531" s="1168">
        <v>1526166</v>
      </c>
      <c r="H531" s="828"/>
      <c r="J531" s="822">
        <f t="shared" ref="J531:J536" si="35">+C506-G455</f>
        <v>-3469988</v>
      </c>
    </row>
    <row r="532" spans="1:10" x14ac:dyDescent="0.25">
      <c r="A532" s="634">
        <v>8810</v>
      </c>
      <c r="B532" s="634" t="s">
        <v>1334</v>
      </c>
      <c r="C532" s="795">
        <v>1526166</v>
      </c>
      <c r="E532" s="1167">
        <v>880501</v>
      </c>
      <c r="F532" s="1167" t="s">
        <v>1333</v>
      </c>
      <c r="G532" s="1168">
        <v>1526166</v>
      </c>
      <c r="H532" s="828"/>
      <c r="J532" s="822">
        <f t="shared" si="35"/>
        <v>212996295</v>
      </c>
    </row>
    <row r="533" spans="1:10" x14ac:dyDescent="0.25">
      <c r="A533" s="634">
        <v>881015</v>
      </c>
      <c r="B533" s="634" t="s">
        <v>1327</v>
      </c>
      <c r="C533" s="795">
        <v>1526166</v>
      </c>
      <c r="E533" s="1167">
        <v>88050101</v>
      </c>
      <c r="F533" s="1167" t="s">
        <v>1340</v>
      </c>
      <c r="G533" s="1168">
        <v>1526166</v>
      </c>
      <c r="H533" s="828"/>
      <c r="J533" s="822">
        <f t="shared" si="35"/>
        <v>263148902</v>
      </c>
    </row>
    <row r="534" spans="1:10" x14ac:dyDescent="0.25">
      <c r="A534" s="634">
        <v>88101501</v>
      </c>
      <c r="B534" s="634" t="s">
        <v>1335</v>
      </c>
      <c r="C534" s="795">
        <v>1526166</v>
      </c>
      <c r="E534" s="1167">
        <v>8810</v>
      </c>
      <c r="F534" s="1167" t="s">
        <v>1334</v>
      </c>
      <c r="G534" s="1168">
        <v>-314663861</v>
      </c>
      <c r="H534" s="828"/>
      <c r="J534" s="822">
        <f t="shared" si="35"/>
        <v>-13420513</v>
      </c>
    </row>
    <row r="535" spans="1:10" x14ac:dyDescent="0.25">
      <c r="A535" s="634">
        <v>881025</v>
      </c>
      <c r="B535" s="634" t="s">
        <v>172</v>
      </c>
      <c r="C535" s="795">
        <v>-83869811</v>
      </c>
      <c r="E535" s="1167">
        <v>881015</v>
      </c>
      <c r="F535" s="1167" t="s">
        <v>1327</v>
      </c>
      <c r="G535" s="1168">
        <v>-141424695</v>
      </c>
      <c r="H535" s="828"/>
      <c r="J535" s="822">
        <f t="shared" si="35"/>
        <v>-248372754</v>
      </c>
    </row>
    <row r="536" spans="1:10" x14ac:dyDescent="0.25">
      <c r="A536" s="634">
        <v>88102501</v>
      </c>
      <c r="B536" s="634" t="s">
        <v>1336</v>
      </c>
      <c r="C536" s="795">
        <v>-47665099</v>
      </c>
      <c r="E536" s="1167">
        <v>88101501</v>
      </c>
      <c r="F536" s="1167" t="s">
        <v>1335</v>
      </c>
      <c r="G536" s="1168">
        <v>-141424695</v>
      </c>
      <c r="H536" s="828"/>
      <c r="J536" s="822">
        <f t="shared" si="35"/>
        <v>-45760127</v>
      </c>
    </row>
    <row r="537" spans="1:10" x14ac:dyDescent="0.25">
      <c r="A537" s="634">
        <v>9</v>
      </c>
      <c r="B537" s="634" t="s">
        <v>973</v>
      </c>
      <c r="C537" s="795">
        <v>-47665099</v>
      </c>
      <c r="E537" s="1167">
        <v>881025</v>
      </c>
      <c r="F537" s="1167" t="s">
        <v>172</v>
      </c>
      <c r="G537" s="1168">
        <v>-173239166</v>
      </c>
      <c r="H537" s="828"/>
      <c r="J537" s="822">
        <f t="shared" ref="J537:J555" si="36">+C512-G464</f>
        <v>-459568762</v>
      </c>
    </row>
    <row r="538" spans="1:10" x14ac:dyDescent="0.25">
      <c r="A538" s="634">
        <v>91</v>
      </c>
      <c r="B538" s="634" t="s">
        <v>974</v>
      </c>
      <c r="C538" s="795">
        <v>-36204712</v>
      </c>
      <c r="E538" s="1167">
        <v>88102501</v>
      </c>
      <c r="F538" s="1167" t="s">
        <v>1336</v>
      </c>
      <c r="G538" s="1168">
        <v>-173239166</v>
      </c>
      <c r="H538" s="828"/>
      <c r="J538" s="822">
        <f t="shared" si="36"/>
        <v>-13274501</v>
      </c>
    </row>
    <row r="539" spans="1:10" x14ac:dyDescent="0.25">
      <c r="A539" s="634">
        <v>9110</v>
      </c>
      <c r="B539" s="634" t="s">
        <v>975</v>
      </c>
      <c r="C539" s="795">
        <v>-36204712</v>
      </c>
      <c r="E539" s="1167">
        <v>9</v>
      </c>
      <c r="F539" s="1167" t="s">
        <v>973</v>
      </c>
      <c r="G539" s="1168">
        <v>0</v>
      </c>
      <c r="H539" s="828"/>
      <c r="J539" s="822">
        <f t="shared" si="36"/>
        <v>-19875141</v>
      </c>
    </row>
    <row r="540" spans="1:10" x14ac:dyDescent="0.25">
      <c r="A540" s="634">
        <v>911010</v>
      </c>
      <c r="B540" s="634" t="s">
        <v>976</v>
      </c>
      <c r="C540" s="795">
        <v>0</v>
      </c>
      <c r="E540" s="1167">
        <v>91</v>
      </c>
      <c r="F540" s="1167" t="s">
        <v>974</v>
      </c>
      <c r="G540" s="1168">
        <v>-42557041166.599998</v>
      </c>
      <c r="H540" s="828"/>
      <c r="J540" s="822">
        <f t="shared" si="36"/>
        <v>194700856</v>
      </c>
    </row>
    <row r="541" spans="1:10" x14ac:dyDescent="0.25">
      <c r="A541" s="634">
        <v>91101001</v>
      </c>
      <c r="B541" s="634" t="s">
        <v>977</v>
      </c>
      <c r="C541" s="795">
        <v>-37330804660.5</v>
      </c>
      <c r="E541" s="1167">
        <v>9110</v>
      </c>
      <c r="F541" s="1167" t="s">
        <v>975</v>
      </c>
      <c r="G541" s="1168">
        <v>-5836771494.1000004</v>
      </c>
      <c r="H541" s="828"/>
      <c r="J541" s="822">
        <f t="shared" si="36"/>
        <v>61128016</v>
      </c>
    </row>
    <row r="542" spans="1:10" x14ac:dyDescent="0.25">
      <c r="A542" s="634">
        <v>9115</v>
      </c>
      <c r="B542" s="634" t="s">
        <v>978</v>
      </c>
      <c r="C542" s="795">
        <v>-1251609952</v>
      </c>
      <c r="E542" s="1167">
        <v>911010</v>
      </c>
      <c r="F542" s="1167" t="s">
        <v>976</v>
      </c>
      <c r="G542" s="1168">
        <v>-5836771494.1000004</v>
      </c>
      <c r="H542" s="828"/>
      <c r="J542" s="822">
        <f t="shared" si="36"/>
        <v>116089255</v>
      </c>
    </row>
    <row r="543" spans="1:10" x14ac:dyDescent="0.25">
      <c r="A543" s="634">
        <v>911510</v>
      </c>
      <c r="B543" s="634" t="s">
        <v>976</v>
      </c>
      <c r="C543" s="795">
        <v>-1251609952</v>
      </c>
      <c r="E543" s="1167">
        <v>91101001</v>
      </c>
      <c r="F543" s="1167" t="s">
        <v>1362</v>
      </c>
      <c r="G543" s="1168">
        <v>-5836771494.1000004</v>
      </c>
      <c r="H543" s="828"/>
      <c r="J543" s="822">
        <f t="shared" si="36"/>
        <v>64860060</v>
      </c>
    </row>
    <row r="544" spans="1:10" x14ac:dyDescent="0.25">
      <c r="A544" s="634">
        <v>91151001</v>
      </c>
      <c r="B544" s="634" t="s">
        <v>977</v>
      </c>
      <c r="C544" s="795">
        <v>-1251609952</v>
      </c>
      <c r="E544" s="1167">
        <v>9115</v>
      </c>
      <c r="F544" s="1167" t="s">
        <v>978</v>
      </c>
      <c r="G544" s="1168">
        <v>-36357755076.5</v>
      </c>
      <c r="H544" s="828"/>
      <c r="J544" s="822">
        <f t="shared" si="36"/>
        <v>64860060</v>
      </c>
    </row>
    <row r="545" spans="1:10" x14ac:dyDescent="0.25">
      <c r="A545" s="634">
        <v>9125</v>
      </c>
      <c r="B545" s="634" t="s">
        <v>979</v>
      </c>
      <c r="C545" s="795">
        <v>-35763502112.5</v>
      </c>
      <c r="E545" s="1167">
        <v>911510</v>
      </c>
      <c r="F545" s="1167" t="s">
        <v>976</v>
      </c>
      <c r="G545" s="1168">
        <v>-36357755076.5</v>
      </c>
      <c r="H545" s="828"/>
      <c r="J545" s="822">
        <f t="shared" si="36"/>
        <v>-34797235</v>
      </c>
    </row>
    <row r="546" spans="1:10" x14ac:dyDescent="0.25">
      <c r="A546" s="634">
        <v>912505</v>
      </c>
      <c r="B546" s="634" t="s">
        <v>980</v>
      </c>
      <c r="C546" s="795">
        <v>-35763502112.5</v>
      </c>
      <c r="E546" s="1167">
        <v>91151001</v>
      </c>
      <c r="F546" s="1167" t="s">
        <v>977</v>
      </c>
      <c r="G546" s="1168">
        <v>-36357755076.5</v>
      </c>
      <c r="H546" s="828"/>
      <c r="J546" s="822">
        <f t="shared" si="36"/>
        <v>-2471835</v>
      </c>
    </row>
    <row r="547" spans="1:10" x14ac:dyDescent="0.25">
      <c r="A547" s="634">
        <v>91250501</v>
      </c>
      <c r="B547" s="634" t="s">
        <v>981</v>
      </c>
      <c r="C547" s="795">
        <v>-35763502112.5</v>
      </c>
      <c r="E547" s="1167">
        <v>9125</v>
      </c>
      <c r="F547" s="1167" t="s">
        <v>979</v>
      </c>
      <c r="G547" s="1168">
        <v>-362514596</v>
      </c>
      <c r="H547" s="828"/>
      <c r="J547" s="822">
        <f t="shared" si="36"/>
        <v>-13781488</v>
      </c>
    </row>
    <row r="548" spans="1:10" x14ac:dyDescent="0.25">
      <c r="A548" s="634">
        <v>96</v>
      </c>
      <c r="B548" s="634" t="s">
        <v>982</v>
      </c>
      <c r="C548" s="795">
        <v>-315692596</v>
      </c>
      <c r="E548" s="1167">
        <v>912505</v>
      </c>
      <c r="F548" s="1167" t="s">
        <v>980</v>
      </c>
      <c r="G548" s="1168">
        <v>-362514596</v>
      </c>
      <c r="H548" s="828"/>
      <c r="J548" s="822">
        <f t="shared" si="36"/>
        <v>-6668435</v>
      </c>
    </row>
    <row r="549" spans="1:10" x14ac:dyDescent="0.25">
      <c r="A549" s="634">
        <v>9605</v>
      </c>
      <c r="B549" s="634" t="s">
        <v>983</v>
      </c>
      <c r="C549" s="795">
        <v>-315692596</v>
      </c>
      <c r="E549" s="1167">
        <v>91250501</v>
      </c>
      <c r="F549" s="1167" t="s">
        <v>981</v>
      </c>
      <c r="G549" s="1168">
        <v>-362514596</v>
      </c>
      <c r="H549" s="828"/>
      <c r="J549" s="822">
        <f t="shared" si="36"/>
        <v>-8942667</v>
      </c>
    </row>
    <row r="550" spans="1:10" x14ac:dyDescent="0.25">
      <c r="A550" s="634">
        <v>960501</v>
      </c>
      <c r="B550" s="634" t="s">
        <v>983</v>
      </c>
      <c r="C550" s="795">
        <v>-315692596</v>
      </c>
      <c r="E550" s="1167">
        <v>96</v>
      </c>
      <c r="F550" s="1167" t="s">
        <v>982</v>
      </c>
      <c r="G550" s="1168">
        <v>42557041166.599998</v>
      </c>
      <c r="H550" s="828"/>
      <c r="J550" s="822">
        <f t="shared" si="36"/>
        <v>-17388604</v>
      </c>
    </row>
    <row r="551" spans="1:10" x14ac:dyDescent="0.25">
      <c r="A551" s="634">
        <v>96050101</v>
      </c>
      <c r="B551" s="634" t="s">
        <v>984</v>
      </c>
      <c r="C551" s="795">
        <v>37330804660.5</v>
      </c>
      <c r="E551" s="1167">
        <v>9605</v>
      </c>
      <c r="F551" s="1167" t="s">
        <v>983</v>
      </c>
      <c r="G551" s="1168">
        <v>42557041166.599998</v>
      </c>
      <c r="H551" s="828"/>
      <c r="J551" s="822">
        <f t="shared" si="36"/>
        <v>3865902</v>
      </c>
    </row>
    <row r="552" spans="1:10" x14ac:dyDescent="0.25">
      <c r="A552" s="634">
        <v>96050102</v>
      </c>
      <c r="B552" s="634" t="s">
        <v>985</v>
      </c>
      <c r="C552" s="795">
        <v>37330804660.5</v>
      </c>
      <c r="E552" s="1167">
        <v>960501</v>
      </c>
      <c r="F552" s="1167" t="s">
        <v>983</v>
      </c>
      <c r="G552" s="1168">
        <v>42557041166.599998</v>
      </c>
      <c r="H552" s="828"/>
      <c r="J552" s="822">
        <f t="shared" si="36"/>
        <v>-383817920.73000002</v>
      </c>
    </row>
    <row r="553" spans="1:10" x14ac:dyDescent="0.25">
      <c r="C553" s="795">
        <v>37330804660.5</v>
      </c>
      <c r="E553" s="1167">
        <v>96050101</v>
      </c>
      <c r="F553" s="1167" t="s">
        <v>984</v>
      </c>
      <c r="G553" s="1168">
        <v>362514596</v>
      </c>
      <c r="H553" s="820"/>
      <c r="J553" s="822">
        <f t="shared" si="36"/>
        <v>-383817920.73000002</v>
      </c>
    </row>
    <row r="554" spans="1:10" x14ac:dyDescent="0.25">
      <c r="C554" s="795">
        <v>315692596</v>
      </c>
      <c r="E554" s="1167">
        <v>96050102</v>
      </c>
      <c r="F554" s="1167" t="s">
        <v>985</v>
      </c>
      <c r="G554" s="1168">
        <v>42194526570.599998</v>
      </c>
      <c r="H554" s="820"/>
      <c r="J554" s="822">
        <f t="shared" si="36"/>
        <v>-328694348.32999998</v>
      </c>
    </row>
    <row r="555" spans="1:10" x14ac:dyDescent="0.25">
      <c r="C555" s="795">
        <v>37015112064.5</v>
      </c>
      <c r="H555" s="820"/>
      <c r="J555" s="822">
        <f t="shared" si="36"/>
        <v>-265298902</v>
      </c>
    </row>
    <row r="556" spans="1:10" x14ac:dyDescent="0.25">
      <c r="H556" s="820"/>
      <c r="J556" s="822">
        <f t="shared" ref="J556:J567" si="37">+C531-G486</f>
        <v>-85874785</v>
      </c>
    </row>
    <row r="557" spans="1:10" x14ac:dyDescent="0.25">
      <c r="H557" s="820"/>
      <c r="J557" s="822">
        <f t="shared" si="37"/>
        <v>-53597406.399999999</v>
      </c>
    </row>
    <row r="558" spans="1:10" x14ac:dyDescent="0.25">
      <c r="H558" s="820"/>
      <c r="J558" s="822">
        <f t="shared" si="37"/>
        <v>-53597406.399999999</v>
      </c>
    </row>
    <row r="559" spans="1:10" x14ac:dyDescent="0.25">
      <c r="H559" s="820"/>
      <c r="J559" s="822">
        <f t="shared" si="37"/>
        <v>-2988384827.0500002</v>
      </c>
    </row>
    <row r="560" spans="1:10" x14ac:dyDescent="0.25">
      <c r="H560" s="820"/>
      <c r="J560" s="822">
        <f t="shared" si="37"/>
        <v>-3073780804.0500002</v>
      </c>
    </row>
    <row r="561" spans="8:10" x14ac:dyDescent="0.25">
      <c r="H561" s="820"/>
      <c r="J561" s="822">
        <f t="shared" si="37"/>
        <v>-1841340223.3399999</v>
      </c>
    </row>
    <row r="562" spans="8:10" x14ac:dyDescent="0.25">
      <c r="H562" s="820"/>
      <c r="J562" s="822">
        <f t="shared" si="37"/>
        <v>-65837009</v>
      </c>
    </row>
    <row r="563" spans="8:10" x14ac:dyDescent="0.25">
      <c r="H563" s="820"/>
      <c r="J563" s="822">
        <f t="shared" si="37"/>
        <v>-1757782871.3399999</v>
      </c>
    </row>
    <row r="564" spans="8:10" x14ac:dyDescent="0.25">
      <c r="H564" s="820"/>
      <c r="J564" s="822">
        <f t="shared" si="37"/>
        <v>-1757782871.3399999</v>
      </c>
    </row>
    <row r="565" spans="8:10" x14ac:dyDescent="0.25">
      <c r="H565" s="820"/>
      <c r="J565" s="822">
        <f t="shared" si="37"/>
        <v>-53925055</v>
      </c>
    </row>
    <row r="566" spans="8:10" x14ac:dyDescent="0.25">
      <c r="H566" s="820"/>
      <c r="J566" s="822">
        <f t="shared" si="37"/>
        <v>-37384729715.5</v>
      </c>
    </row>
    <row r="567" spans="8:10" x14ac:dyDescent="0.25">
      <c r="H567" s="820"/>
      <c r="J567" s="822">
        <f t="shared" si="37"/>
        <v>-2447845820.71</v>
      </c>
    </row>
    <row r="568" spans="8:10" x14ac:dyDescent="0.25">
      <c r="H568" s="820"/>
    </row>
    <row r="569" spans="8:10" x14ac:dyDescent="0.25">
      <c r="H569" s="820"/>
    </row>
    <row r="570" spans="8:10" x14ac:dyDescent="0.25">
      <c r="H570" s="820"/>
    </row>
    <row r="571" spans="8:10" x14ac:dyDescent="0.25">
      <c r="H571" s="820"/>
    </row>
    <row r="572" spans="8:10" x14ac:dyDescent="0.25">
      <c r="H572" s="820"/>
    </row>
    <row r="573" spans="8:10" x14ac:dyDescent="0.25">
      <c r="H573" s="820"/>
    </row>
    <row r="574" spans="8:10" x14ac:dyDescent="0.25">
      <c r="H574" s="820"/>
    </row>
    <row r="575" spans="8:10" x14ac:dyDescent="0.25">
      <c r="H575" s="820"/>
    </row>
    <row r="576" spans="8:10" x14ac:dyDescent="0.25">
      <c r="H576" s="820"/>
    </row>
    <row r="577" spans="8:8" x14ac:dyDescent="0.25">
      <c r="H577" s="820"/>
    </row>
    <row r="578" spans="8:8" x14ac:dyDescent="0.25">
      <c r="H578" s="820"/>
    </row>
    <row r="579" spans="8:8" x14ac:dyDescent="0.25">
      <c r="H579" s="820"/>
    </row>
    <row r="580" spans="8:8" x14ac:dyDescent="0.25">
      <c r="H580" s="820"/>
    </row>
    <row r="581" spans="8:8" x14ac:dyDescent="0.25">
      <c r="H581" s="820"/>
    </row>
    <row r="582" spans="8:8" x14ac:dyDescent="0.25">
      <c r="H582" s="820"/>
    </row>
    <row r="583" spans="8:8" x14ac:dyDescent="0.25">
      <c r="H583" s="820"/>
    </row>
    <row r="584" spans="8:8" x14ac:dyDescent="0.25">
      <c r="H584" s="820"/>
    </row>
    <row r="585" spans="8:8" x14ac:dyDescent="0.25">
      <c r="H585" s="820"/>
    </row>
    <row r="586" spans="8:8" x14ac:dyDescent="0.25">
      <c r="H586" s="820"/>
    </row>
    <row r="587" spans="8:8" x14ac:dyDescent="0.25">
      <c r="H587" s="820"/>
    </row>
    <row r="588" spans="8:8" x14ac:dyDescent="0.25">
      <c r="H588" s="820"/>
    </row>
    <row r="589" spans="8:8" x14ac:dyDescent="0.25">
      <c r="H589" s="820"/>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3"/>
  <dimension ref="B1:G127"/>
  <sheetViews>
    <sheetView topLeftCell="A74" zoomScale="130" zoomScaleNormal="130" workbookViewId="0">
      <selection activeCell="E100" sqref="E100"/>
    </sheetView>
  </sheetViews>
  <sheetFormatPr baseColWidth="10" defaultRowHeight="15" x14ac:dyDescent="0.25"/>
  <cols>
    <col min="1" max="1" width="1.77734375" style="215" customWidth="1"/>
    <col min="2" max="2" width="23.33203125" style="469" customWidth="1"/>
    <col min="3" max="3" width="15" style="469" hidden="1" customWidth="1"/>
    <col min="4" max="4" width="4.77734375" style="469" hidden="1" customWidth="1"/>
    <col min="5" max="5" width="14.88671875" style="215" customWidth="1"/>
    <col min="6" max="6" width="5.88671875" style="215" bestFit="1" customWidth="1"/>
    <col min="7" max="16384" width="11.5546875" style="215"/>
  </cols>
  <sheetData>
    <row r="1" spans="2:6" ht="15.75" x14ac:dyDescent="0.25">
      <c r="B1" s="421" t="s">
        <v>216</v>
      </c>
      <c r="C1" s="422"/>
      <c r="D1" s="422"/>
      <c r="E1" s="422"/>
      <c r="F1" s="422"/>
    </row>
    <row r="2" spans="2:6" x14ac:dyDescent="0.25">
      <c r="B2" s="1250" t="s">
        <v>216</v>
      </c>
      <c r="C2" s="1250"/>
      <c r="D2" s="1250"/>
      <c r="E2" s="1250"/>
      <c r="F2" s="1250"/>
    </row>
    <row r="3" spans="2:6" ht="15.75" customHeight="1" x14ac:dyDescent="0.25">
      <c r="B3" s="1250" t="s">
        <v>659</v>
      </c>
      <c r="C3" s="1250"/>
      <c r="D3" s="1250"/>
      <c r="E3" s="1250"/>
      <c r="F3" s="1250"/>
    </row>
    <row r="4" spans="2:6" hidden="1" x14ac:dyDescent="0.25">
      <c r="B4" s="424" t="s">
        <v>50</v>
      </c>
      <c r="C4" s="425" t="s">
        <v>660</v>
      </c>
      <c r="D4" s="425"/>
      <c r="E4" s="425" t="s">
        <v>660</v>
      </c>
      <c r="F4" s="426" t="s">
        <v>661</v>
      </c>
    </row>
    <row r="5" spans="2:6" hidden="1" x14ac:dyDescent="0.25">
      <c r="B5" s="427" t="s">
        <v>442</v>
      </c>
      <c r="C5" s="428">
        <v>2184765066.949646</v>
      </c>
      <c r="D5" s="428"/>
      <c r="E5" s="428">
        <v>2173272610.7377691</v>
      </c>
      <c r="F5" s="429">
        <v>1</v>
      </c>
    </row>
    <row r="6" spans="2:6" hidden="1" x14ac:dyDescent="0.25">
      <c r="B6" s="430" t="s">
        <v>52</v>
      </c>
      <c r="C6" s="431">
        <f>SUM(C5)</f>
        <v>2184765066.949646</v>
      </c>
      <c r="D6" s="431"/>
      <c r="E6" s="431">
        <f>SUM(E5)</f>
        <v>2173272610.7377691</v>
      </c>
      <c r="F6" s="432">
        <v>1</v>
      </c>
    </row>
    <row r="7" spans="2:6" hidden="1" x14ac:dyDescent="0.25">
      <c r="B7" s="424" t="s">
        <v>53</v>
      </c>
      <c r="C7" s="425" t="s">
        <v>660</v>
      </c>
      <c r="D7" s="425"/>
      <c r="E7" s="425" t="s">
        <v>660</v>
      </c>
      <c r="F7" s="426" t="s">
        <v>661</v>
      </c>
    </row>
    <row r="8" spans="2:6" hidden="1" x14ac:dyDescent="0.25">
      <c r="B8" s="427" t="s">
        <v>55</v>
      </c>
      <c r="C8" s="428">
        <v>265451986.41519403</v>
      </c>
      <c r="D8" s="428"/>
      <c r="E8" s="428">
        <v>265559114.55709589</v>
      </c>
      <c r="F8" s="429">
        <f>E8/$E$5</f>
        <v>0.12219319069545791</v>
      </c>
    </row>
    <row r="9" spans="2:6" hidden="1" x14ac:dyDescent="0.25">
      <c r="B9" s="427" t="s">
        <v>662</v>
      </c>
      <c r="C9" s="428">
        <v>464078319.20711464</v>
      </c>
      <c r="D9" s="428"/>
      <c r="E9" s="428">
        <v>286201001.09979957</v>
      </c>
      <c r="F9" s="429">
        <f>E9/$E$5</f>
        <v>0.13169125662640263</v>
      </c>
    </row>
    <row r="10" spans="2:6" hidden="1" x14ac:dyDescent="0.25">
      <c r="B10" s="427" t="s">
        <v>663</v>
      </c>
      <c r="C10" s="428"/>
      <c r="D10" s="428"/>
      <c r="E10" s="428">
        <v>183930980.49308684</v>
      </c>
      <c r="F10" s="429">
        <f>E10/$E$5</f>
        <v>8.4633183883289775E-2</v>
      </c>
    </row>
    <row r="11" spans="2:6" x14ac:dyDescent="0.25">
      <c r="B11" s="433" t="s">
        <v>57</v>
      </c>
      <c r="C11" s="431">
        <f>SUM(C8:C9)</f>
        <v>729530305.62230873</v>
      </c>
      <c r="D11" s="431"/>
      <c r="E11" s="431">
        <f>SUM(E8:E10)</f>
        <v>735691096.14998221</v>
      </c>
      <c r="F11" s="432">
        <f>E11/E5</f>
        <v>0.33851763120515027</v>
      </c>
    </row>
    <row r="12" spans="2:6" x14ac:dyDescent="0.25">
      <c r="B12" s="433" t="s">
        <v>58</v>
      </c>
      <c r="C12" s="434">
        <f>C6-C11</f>
        <v>1455234761.3273373</v>
      </c>
      <c r="D12" s="434"/>
      <c r="E12" s="434">
        <f>E6-E11</f>
        <v>1437581514.5877869</v>
      </c>
      <c r="F12" s="432">
        <f>E12/E5</f>
        <v>0.66148236879484978</v>
      </c>
    </row>
    <row r="13" spans="2:6" x14ac:dyDescent="0.25">
      <c r="B13" s="424" t="s">
        <v>664</v>
      </c>
      <c r="C13" s="425" t="s">
        <v>660</v>
      </c>
      <c r="D13" s="425"/>
      <c r="E13" s="425" t="s">
        <v>660</v>
      </c>
      <c r="F13" s="426" t="s">
        <v>661</v>
      </c>
    </row>
    <row r="14" spans="2:6" hidden="1" x14ac:dyDescent="0.25">
      <c r="B14" s="435" t="s">
        <v>60</v>
      </c>
      <c r="C14" s="436"/>
      <c r="D14" s="436"/>
      <c r="E14" s="437"/>
      <c r="F14" s="438">
        <f>E14/$E$5</f>
        <v>0</v>
      </c>
    </row>
    <row r="15" spans="2:6" hidden="1" x14ac:dyDescent="0.25">
      <c r="B15" s="439" t="s">
        <v>61</v>
      </c>
      <c r="C15" s="436"/>
      <c r="D15" s="436"/>
      <c r="E15" s="440"/>
      <c r="F15" s="438">
        <f t="shared" ref="F15:F44" si="0">E15/$E$5</f>
        <v>0</v>
      </c>
    </row>
    <row r="16" spans="2:6" hidden="1" x14ac:dyDescent="0.25">
      <c r="B16" s="439" t="s">
        <v>62</v>
      </c>
      <c r="C16" s="436"/>
      <c r="D16" s="436"/>
      <c r="E16" s="440"/>
      <c r="F16" s="438">
        <f t="shared" si="0"/>
        <v>0</v>
      </c>
    </row>
    <row r="17" spans="2:6" hidden="1" x14ac:dyDescent="0.25">
      <c r="B17" s="439" t="s">
        <v>63</v>
      </c>
      <c r="C17" s="436"/>
      <c r="D17" s="436"/>
      <c r="E17" s="440"/>
      <c r="F17" s="438">
        <f t="shared" si="0"/>
        <v>0</v>
      </c>
    </row>
    <row r="18" spans="2:6" hidden="1" x14ac:dyDescent="0.25">
      <c r="B18" s="439" t="s">
        <v>64</v>
      </c>
      <c r="C18" s="436"/>
      <c r="D18" s="436"/>
      <c r="E18" s="440"/>
      <c r="F18" s="438">
        <f t="shared" si="0"/>
        <v>0</v>
      </c>
    </row>
    <row r="19" spans="2:6" hidden="1" x14ac:dyDescent="0.25">
      <c r="B19" s="439" t="s">
        <v>65</v>
      </c>
      <c r="C19" s="436"/>
      <c r="D19" s="436"/>
      <c r="E19" s="440"/>
      <c r="F19" s="438">
        <f t="shared" si="0"/>
        <v>0</v>
      </c>
    </row>
    <row r="20" spans="2:6" hidden="1" x14ac:dyDescent="0.25">
      <c r="B20" s="439" t="s">
        <v>66</v>
      </c>
      <c r="C20" s="436"/>
      <c r="D20" s="436"/>
      <c r="E20" s="440"/>
      <c r="F20" s="438">
        <f t="shared" si="0"/>
        <v>0</v>
      </c>
    </row>
    <row r="21" spans="2:6" hidden="1" x14ac:dyDescent="0.25">
      <c r="B21" s="439" t="s">
        <v>67</v>
      </c>
      <c r="C21" s="436"/>
      <c r="D21" s="436"/>
      <c r="E21" s="440"/>
      <c r="F21" s="438">
        <f t="shared" si="0"/>
        <v>0</v>
      </c>
    </row>
    <row r="22" spans="2:6" hidden="1" x14ac:dyDescent="0.25">
      <c r="B22" s="439" t="s">
        <v>68</v>
      </c>
      <c r="C22" s="436"/>
      <c r="D22" s="436"/>
      <c r="E22" s="441"/>
      <c r="F22" s="438">
        <f t="shared" si="0"/>
        <v>0</v>
      </c>
    </row>
    <row r="23" spans="2:6" hidden="1" x14ac:dyDescent="0.25">
      <c r="B23" s="439" t="s">
        <v>69</v>
      </c>
      <c r="C23" s="436"/>
      <c r="D23" s="436"/>
      <c r="E23" s="441"/>
      <c r="F23" s="438">
        <f t="shared" si="0"/>
        <v>0</v>
      </c>
    </row>
    <row r="24" spans="2:6" hidden="1" x14ac:dyDescent="0.25">
      <c r="B24" s="439" t="s">
        <v>225</v>
      </c>
      <c r="C24" s="436"/>
      <c r="D24" s="436"/>
      <c r="E24" s="440"/>
      <c r="F24" s="438">
        <f t="shared" si="0"/>
        <v>0</v>
      </c>
    </row>
    <row r="25" spans="2:6" hidden="1" x14ac:dyDescent="0.25">
      <c r="B25" s="439" t="s">
        <v>226</v>
      </c>
      <c r="C25" s="436"/>
      <c r="D25" s="436"/>
      <c r="E25" s="440"/>
      <c r="F25" s="438">
        <f t="shared" si="0"/>
        <v>0</v>
      </c>
    </row>
    <row r="26" spans="2:6" hidden="1" x14ac:dyDescent="0.25">
      <c r="B26" s="439" t="s">
        <v>227</v>
      </c>
      <c r="C26" s="436"/>
      <c r="D26" s="436"/>
      <c r="E26" s="440"/>
      <c r="F26" s="438">
        <f t="shared" si="0"/>
        <v>0</v>
      </c>
    </row>
    <row r="27" spans="2:6" hidden="1" x14ac:dyDescent="0.25">
      <c r="B27" s="439" t="s">
        <v>665</v>
      </c>
      <c r="C27" s="436"/>
      <c r="D27" s="436"/>
      <c r="E27" s="440"/>
      <c r="F27" s="438">
        <f t="shared" si="0"/>
        <v>0</v>
      </c>
    </row>
    <row r="28" spans="2:6" hidden="1" x14ac:dyDescent="0.25">
      <c r="B28" s="439" t="s">
        <v>666</v>
      </c>
      <c r="C28" s="436"/>
      <c r="D28" s="436"/>
      <c r="E28" s="440"/>
      <c r="F28" s="438">
        <f t="shared" si="0"/>
        <v>0</v>
      </c>
    </row>
    <row r="29" spans="2:6" hidden="1" x14ac:dyDescent="0.25">
      <c r="B29" s="439" t="s">
        <v>667</v>
      </c>
      <c r="C29" s="436"/>
      <c r="D29" s="436"/>
      <c r="E29" s="440"/>
      <c r="F29" s="438">
        <f t="shared" si="0"/>
        <v>0</v>
      </c>
    </row>
    <row r="30" spans="2:6" hidden="1" x14ac:dyDescent="0.25">
      <c r="B30" s="442" t="s">
        <v>651</v>
      </c>
      <c r="C30" s="436"/>
      <c r="D30" s="436"/>
      <c r="E30" s="443"/>
      <c r="F30" s="438">
        <f t="shared" si="0"/>
        <v>0</v>
      </c>
    </row>
    <row r="31" spans="2:6" x14ac:dyDescent="0.25">
      <c r="B31" s="427" t="s">
        <v>60</v>
      </c>
      <c r="C31" s="439"/>
      <c r="D31" s="439"/>
      <c r="E31" s="428">
        <v>248097000</v>
      </c>
      <c r="F31" s="429">
        <f t="shared" si="0"/>
        <v>0.11415825091348185</v>
      </c>
    </row>
    <row r="32" spans="2:6" x14ac:dyDescent="0.25">
      <c r="B32" s="427" t="s">
        <v>61</v>
      </c>
      <c r="C32" s="439"/>
      <c r="D32" s="439"/>
      <c r="E32" s="428">
        <v>4230000</v>
      </c>
      <c r="F32" s="429">
        <f t="shared" si="0"/>
        <v>1.9463733997752016E-3</v>
      </c>
    </row>
    <row r="33" spans="2:6" x14ac:dyDescent="0.25">
      <c r="B33" s="427" t="s">
        <v>62</v>
      </c>
      <c r="C33" s="439"/>
      <c r="D33" s="439"/>
      <c r="E33" s="428">
        <v>21027250</v>
      </c>
      <c r="F33" s="429">
        <f t="shared" si="0"/>
        <v>9.6753853594380868E-3</v>
      </c>
    </row>
    <row r="34" spans="2:6" x14ac:dyDescent="0.25">
      <c r="B34" s="427" t="s">
        <v>63</v>
      </c>
      <c r="C34" s="439"/>
      <c r="D34" s="439"/>
      <c r="E34" s="428">
        <v>2523270</v>
      </c>
      <c r="F34" s="429">
        <f t="shared" si="0"/>
        <v>1.1610462431325705E-3</v>
      </c>
    </row>
    <row r="35" spans="2:6" x14ac:dyDescent="0.25">
      <c r="B35" s="427" t="s">
        <v>64</v>
      </c>
      <c r="C35" s="439"/>
      <c r="D35" s="439"/>
      <c r="E35" s="428">
        <v>22234750</v>
      </c>
      <c r="F35" s="429">
        <f t="shared" si="0"/>
        <v>1.0230999042707248E-2</v>
      </c>
    </row>
    <row r="36" spans="2:6" x14ac:dyDescent="0.25">
      <c r="B36" s="427" t="s">
        <v>65</v>
      </c>
      <c r="C36" s="439"/>
      <c r="D36" s="439"/>
      <c r="E36" s="428">
        <v>11472425</v>
      </c>
      <c r="F36" s="429">
        <f t="shared" si="0"/>
        <v>5.2788706503347563E-3</v>
      </c>
    </row>
    <row r="37" spans="2:6" x14ac:dyDescent="0.25">
      <c r="B37" s="427" t="s">
        <v>66</v>
      </c>
      <c r="C37" s="439"/>
      <c r="D37" s="439"/>
      <c r="E37" s="428">
        <v>55424148</v>
      </c>
      <c r="F37" s="429">
        <f t="shared" si="0"/>
        <v>2.5502621128227883E-2</v>
      </c>
    </row>
    <row r="38" spans="2:6" x14ac:dyDescent="0.25">
      <c r="B38" s="427" t="s">
        <v>67</v>
      </c>
      <c r="C38" s="439"/>
      <c r="D38" s="439"/>
      <c r="E38" s="428">
        <v>20674750</v>
      </c>
      <c r="F38" s="429">
        <f t="shared" si="0"/>
        <v>9.5131875761234868E-3</v>
      </c>
    </row>
    <row r="39" spans="2:6" x14ac:dyDescent="0.25">
      <c r="B39" s="427" t="s">
        <v>68</v>
      </c>
      <c r="C39" s="439"/>
      <c r="D39" s="439"/>
      <c r="E39" s="428">
        <v>8580000</v>
      </c>
      <c r="F39" s="429">
        <f t="shared" si="0"/>
        <v>3.9479630662106928E-3</v>
      </c>
    </row>
    <row r="40" spans="2:6" x14ac:dyDescent="0.25">
      <c r="B40" s="427" t="s">
        <v>69</v>
      </c>
      <c r="C40" s="439"/>
      <c r="D40" s="439"/>
      <c r="E40" s="428">
        <v>9048000</v>
      </c>
      <c r="F40" s="429">
        <f t="shared" si="0"/>
        <v>4.163306506185821E-3</v>
      </c>
    </row>
    <row r="41" spans="2:6" x14ac:dyDescent="0.25">
      <c r="B41" s="427" t="s">
        <v>225</v>
      </c>
      <c r="C41" s="439"/>
      <c r="D41" s="439"/>
      <c r="E41" s="428">
        <v>21088245</v>
      </c>
      <c r="F41" s="429">
        <f t="shared" si="0"/>
        <v>9.7034513276459573E-3</v>
      </c>
    </row>
    <row r="42" spans="2:6" x14ac:dyDescent="0.25">
      <c r="B42" s="427" t="s">
        <v>226</v>
      </c>
      <c r="C42" s="439"/>
      <c r="D42" s="439"/>
      <c r="E42" s="428">
        <v>29771640</v>
      </c>
      <c r="F42" s="429">
        <f t="shared" si="0"/>
        <v>1.3698990109617821E-2</v>
      </c>
    </row>
    <row r="43" spans="2:6" x14ac:dyDescent="0.25">
      <c r="B43" s="427" t="s">
        <v>227</v>
      </c>
      <c r="C43" s="439"/>
      <c r="D43" s="439"/>
      <c r="E43" s="428">
        <v>4429573.1999999993</v>
      </c>
      <c r="F43" s="429">
        <f t="shared" si="0"/>
        <v>2.0382041250205951E-3</v>
      </c>
    </row>
    <row r="44" spans="2:6" x14ac:dyDescent="0.25">
      <c r="B44" s="427" t="s">
        <v>122</v>
      </c>
      <c r="C44" s="439"/>
      <c r="D44" s="439"/>
      <c r="E44" s="428">
        <v>22328730</v>
      </c>
      <c r="F44" s="429">
        <f t="shared" si="0"/>
        <v>1.0274242582213365E-2</v>
      </c>
    </row>
    <row r="45" spans="2:6" ht="33.75" customHeight="1" x14ac:dyDescent="0.25">
      <c r="B45" s="444" t="s">
        <v>198</v>
      </c>
      <c r="C45" s="445">
        <v>504020732</v>
      </c>
      <c r="D45" s="446">
        <f>C45/C5</f>
        <v>0.23069790872467139</v>
      </c>
      <c r="E45" s="447">
        <f>SUM(E31:E44)</f>
        <v>480929781.19999999</v>
      </c>
      <c r="F45" s="446">
        <f>E45/E5</f>
        <v>0.22129289203011532</v>
      </c>
    </row>
    <row r="46" spans="2:6" x14ac:dyDescent="0.25">
      <c r="B46" s="424" t="s">
        <v>668</v>
      </c>
      <c r="C46" s="424"/>
      <c r="D46" s="424"/>
      <c r="E46" s="448" t="s">
        <v>660</v>
      </c>
      <c r="F46" s="426" t="s">
        <v>661</v>
      </c>
    </row>
    <row r="47" spans="2:6" x14ac:dyDescent="0.25">
      <c r="B47" s="435" t="s">
        <v>230</v>
      </c>
      <c r="C47" s="449">
        <v>7727451.2640000004</v>
      </c>
      <c r="D47" s="449"/>
      <c r="E47" s="449">
        <v>7716000</v>
      </c>
      <c r="F47" s="429">
        <f>E47/$E$5</f>
        <v>3.5504059462566091E-3</v>
      </c>
    </row>
    <row r="48" spans="2:6" x14ac:dyDescent="0.25">
      <c r="B48" s="439" t="s">
        <v>231</v>
      </c>
      <c r="C48" s="449">
        <v>13927080.960000001</v>
      </c>
      <c r="D48" s="449"/>
      <c r="E48" s="449">
        <v>14148000</v>
      </c>
      <c r="F48" s="429">
        <f t="shared" ref="F48:F85" si="1">E48/$E$5</f>
        <v>6.5099978392481215E-3</v>
      </c>
    </row>
    <row r="49" spans="2:6" x14ac:dyDescent="0.25">
      <c r="B49" s="439" t="s">
        <v>73</v>
      </c>
      <c r="C49" s="449">
        <v>3180715.122</v>
      </c>
      <c r="D49" s="449"/>
      <c r="E49" s="449">
        <v>3888000</v>
      </c>
      <c r="F49" s="429">
        <f t="shared" si="1"/>
        <v>1.7890070397933767E-3</v>
      </c>
    </row>
    <row r="50" spans="2:6" x14ac:dyDescent="0.25">
      <c r="B50" s="439" t="s">
        <v>75</v>
      </c>
      <c r="C50" s="449">
        <v>12432000</v>
      </c>
      <c r="D50" s="449"/>
      <c r="E50" s="449">
        <v>11496000</v>
      </c>
      <c r="F50" s="429">
        <f t="shared" si="1"/>
        <v>5.2897183460557254E-3</v>
      </c>
    </row>
    <row r="51" spans="2:6" x14ac:dyDescent="0.25">
      <c r="B51" s="439" t="s">
        <v>74</v>
      </c>
      <c r="C51" s="449">
        <v>4679849.9779200004</v>
      </c>
      <c r="D51" s="449"/>
      <c r="E51" s="449">
        <v>4836000</v>
      </c>
      <c r="F51" s="429">
        <f t="shared" si="1"/>
        <v>2.2252155464096632E-3</v>
      </c>
    </row>
    <row r="52" spans="2:6" x14ac:dyDescent="0.25">
      <c r="B52" s="439" t="s">
        <v>76</v>
      </c>
      <c r="C52" s="449">
        <v>3637060.3739999998</v>
      </c>
      <c r="D52" s="449"/>
      <c r="E52" s="449">
        <v>3960000</v>
      </c>
      <c r="F52" s="429">
        <f t="shared" si="1"/>
        <v>1.8221367997895504E-3</v>
      </c>
    </row>
    <row r="53" spans="2:6" x14ac:dyDescent="0.25">
      <c r="B53" s="439" t="s">
        <v>77</v>
      </c>
      <c r="C53" s="449">
        <v>14718438.75</v>
      </c>
      <c r="D53" s="449"/>
      <c r="E53" s="449">
        <v>15276000</v>
      </c>
      <c r="F53" s="429">
        <f t="shared" si="1"/>
        <v>7.0290307458548418E-3</v>
      </c>
    </row>
    <row r="54" spans="2:6" x14ac:dyDescent="0.25">
      <c r="B54" s="439" t="s">
        <v>232</v>
      </c>
      <c r="C54" s="449">
        <v>5659851.3753599999</v>
      </c>
      <c r="D54" s="449"/>
      <c r="E54" s="449">
        <v>5231999.5999999996</v>
      </c>
      <c r="F54" s="429">
        <f t="shared" si="1"/>
        <v>2.407429042334396E-3</v>
      </c>
    </row>
    <row r="55" spans="2:6" x14ac:dyDescent="0.25">
      <c r="B55" s="439" t="s">
        <v>233</v>
      </c>
      <c r="C55" s="449">
        <v>8328000</v>
      </c>
      <c r="D55" s="449"/>
      <c r="E55" s="449">
        <v>7656000</v>
      </c>
      <c r="F55" s="429">
        <f t="shared" si="1"/>
        <v>3.5227978129264642E-3</v>
      </c>
    </row>
    <row r="56" spans="2:6" x14ac:dyDescent="0.25">
      <c r="B56" s="439" t="s">
        <v>79</v>
      </c>
      <c r="C56" s="449">
        <v>18605118.848399997</v>
      </c>
      <c r="D56" s="449"/>
      <c r="E56" s="449">
        <v>19056000</v>
      </c>
      <c r="F56" s="429">
        <f t="shared" si="1"/>
        <v>8.7683431456539573E-3</v>
      </c>
    </row>
    <row r="57" spans="2:6" x14ac:dyDescent="0.25">
      <c r="B57" s="439" t="s">
        <v>234</v>
      </c>
      <c r="C57" s="449">
        <v>17176500</v>
      </c>
      <c r="D57" s="449"/>
      <c r="E57" s="449">
        <v>17016000</v>
      </c>
      <c r="F57" s="429">
        <f t="shared" si="1"/>
        <v>7.8296666124290388E-3</v>
      </c>
    </row>
    <row r="58" spans="2:6" x14ac:dyDescent="0.25">
      <c r="B58" s="439" t="s">
        <v>81</v>
      </c>
      <c r="C58" s="449">
        <v>8328000</v>
      </c>
      <c r="D58" s="449"/>
      <c r="E58" s="449">
        <v>7512000</v>
      </c>
      <c r="F58" s="429">
        <f t="shared" si="1"/>
        <v>3.456538292934117E-3</v>
      </c>
    </row>
    <row r="59" spans="2:6" x14ac:dyDescent="0.25">
      <c r="B59" s="439" t="s">
        <v>82</v>
      </c>
      <c r="C59" s="449">
        <v>5725500</v>
      </c>
      <c r="D59" s="449"/>
      <c r="E59" s="449">
        <v>5340000</v>
      </c>
      <c r="F59" s="429">
        <f t="shared" si="1"/>
        <v>2.4571238663828785E-3</v>
      </c>
    </row>
    <row r="60" spans="2:6" x14ac:dyDescent="0.25">
      <c r="B60" s="439" t="s">
        <v>83</v>
      </c>
      <c r="C60" s="449">
        <v>17595945.965999998</v>
      </c>
      <c r="D60" s="449"/>
      <c r="E60" s="449">
        <v>18288000</v>
      </c>
      <c r="F60" s="429">
        <f t="shared" si="1"/>
        <v>8.414959039028105E-3</v>
      </c>
    </row>
    <row r="61" spans="2:6" x14ac:dyDescent="0.25">
      <c r="B61" s="439" t="s">
        <v>84</v>
      </c>
      <c r="C61" s="449">
        <v>29004259.899999999</v>
      </c>
      <c r="D61" s="449"/>
      <c r="E61" s="449">
        <v>29448000</v>
      </c>
      <c r="F61" s="429">
        <f t="shared" si="1"/>
        <v>1.355007183843502E-2</v>
      </c>
    </row>
    <row r="62" spans="2:6" x14ac:dyDescent="0.25">
      <c r="B62" s="439" t="s">
        <v>669</v>
      </c>
      <c r="C62" s="449">
        <v>4207930.2</v>
      </c>
      <c r="D62" s="449"/>
      <c r="E62" s="449">
        <v>4356000</v>
      </c>
      <c r="F62" s="429">
        <f t="shared" si="1"/>
        <v>2.0043504797685055E-3</v>
      </c>
    </row>
    <row r="63" spans="2:6" x14ac:dyDescent="0.25">
      <c r="B63" s="439" t="s">
        <v>86</v>
      </c>
      <c r="C63" s="449">
        <v>13589576.267999999</v>
      </c>
      <c r="D63" s="449"/>
      <c r="E63" s="449">
        <v>13572000</v>
      </c>
      <c r="F63" s="429">
        <f t="shared" si="1"/>
        <v>6.2449597592787323E-3</v>
      </c>
    </row>
    <row r="64" spans="2:6" x14ac:dyDescent="0.25">
      <c r="B64" s="439" t="s">
        <v>87</v>
      </c>
      <c r="C64" s="449">
        <v>16385340</v>
      </c>
      <c r="D64" s="449"/>
      <c r="E64" s="449">
        <v>20712000</v>
      </c>
      <c r="F64" s="429">
        <f t="shared" si="1"/>
        <v>9.5303276255659514E-3</v>
      </c>
    </row>
    <row r="65" spans="2:7" x14ac:dyDescent="0.25">
      <c r="B65" s="439" t="s">
        <v>88</v>
      </c>
      <c r="C65" s="449">
        <v>624600</v>
      </c>
      <c r="D65" s="449"/>
      <c r="E65" s="449">
        <v>660000</v>
      </c>
      <c r="F65" s="429">
        <f t="shared" si="1"/>
        <v>3.0368946663159176E-4</v>
      </c>
    </row>
    <row r="66" spans="2:7" x14ac:dyDescent="0.25">
      <c r="B66" s="439" t="s">
        <v>235</v>
      </c>
      <c r="C66" s="449">
        <v>25000000</v>
      </c>
      <c r="D66" s="449"/>
      <c r="E66" s="449">
        <v>27732000</v>
      </c>
      <c r="F66" s="429">
        <f t="shared" si="1"/>
        <v>1.2760479225192882E-2</v>
      </c>
    </row>
    <row r="67" spans="2:7" x14ac:dyDescent="0.25">
      <c r="B67" s="439" t="s">
        <v>90</v>
      </c>
      <c r="C67" s="449">
        <v>3452647.2239999999</v>
      </c>
      <c r="D67" s="449"/>
      <c r="E67" s="449">
        <v>4596000</v>
      </c>
      <c r="F67" s="429">
        <f t="shared" si="1"/>
        <v>2.1147830130890844E-3</v>
      </c>
    </row>
    <row r="68" spans="2:7" x14ac:dyDescent="0.25">
      <c r="B68" s="439" t="s">
        <v>91</v>
      </c>
      <c r="C68" s="449">
        <v>11380212</v>
      </c>
      <c r="D68" s="449"/>
      <c r="E68" s="449">
        <v>15612000</v>
      </c>
      <c r="F68" s="429">
        <f t="shared" si="1"/>
        <v>7.1836362925036517E-3</v>
      </c>
    </row>
    <row r="69" spans="2:7" x14ac:dyDescent="0.25">
      <c r="B69" s="439" t="s">
        <v>670</v>
      </c>
      <c r="C69" s="449">
        <v>4207930.2</v>
      </c>
      <c r="D69" s="449"/>
      <c r="E69" s="449">
        <v>5664000</v>
      </c>
      <c r="F69" s="429">
        <f t="shared" si="1"/>
        <v>2.6062077863656602E-3</v>
      </c>
    </row>
    <row r="70" spans="2:7" x14ac:dyDescent="0.25">
      <c r="B70" s="439" t="s">
        <v>93</v>
      </c>
      <c r="C70" s="449">
        <v>1873800</v>
      </c>
      <c r="D70" s="449"/>
      <c r="E70" s="449">
        <v>2148000</v>
      </c>
      <c r="F70" s="429">
        <f t="shared" si="1"/>
        <v>9.8837117321918036E-4</v>
      </c>
    </row>
    <row r="71" spans="2:7" x14ac:dyDescent="0.25">
      <c r="B71" s="439" t="s">
        <v>236</v>
      </c>
      <c r="C71" s="449">
        <v>16656000</v>
      </c>
      <c r="D71" s="449"/>
      <c r="E71" s="449">
        <v>19056857</v>
      </c>
      <c r="F71" s="429">
        <f t="shared" si="1"/>
        <v>8.768737481825023E-3</v>
      </c>
    </row>
    <row r="72" spans="2:7" x14ac:dyDescent="0.25">
      <c r="B72" s="439" t="s">
        <v>237</v>
      </c>
      <c r="C72" s="449">
        <v>18535438.056000002</v>
      </c>
      <c r="D72" s="449"/>
      <c r="E72" s="450">
        <v>15129073.466666665</v>
      </c>
      <c r="F72" s="429">
        <f t="shared" si="1"/>
        <v>6.961424623821464E-3</v>
      </c>
    </row>
    <row r="73" spans="2:7" x14ac:dyDescent="0.25">
      <c r="B73" s="439" t="s">
        <v>238</v>
      </c>
      <c r="C73" s="449">
        <v>11537099.028000001</v>
      </c>
      <c r="D73" s="449"/>
      <c r="E73" s="450">
        <v>27202953.733333334</v>
      </c>
      <c r="F73" s="429">
        <f t="shared" si="1"/>
        <v>1.2517046227393738E-2</v>
      </c>
    </row>
    <row r="74" spans="2:7" x14ac:dyDescent="0.25">
      <c r="B74" s="451" t="s">
        <v>390</v>
      </c>
      <c r="C74" s="449">
        <v>20949432.734999999</v>
      </c>
      <c r="D74" s="449"/>
      <c r="E74" s="450">
        <v>23068490.944444444</v>
      </c>
      <c r="F74" s="429">
        <f t="shared" si="1"/>
        <v>1.0614632895324298E-2</v>
      </c>
    </row>
    <row r="75" spans="2:7" x14ac:dyDescent="0.25">
      <c r="B75" s="452" t="s">
        <v>671</v>
      </c>
      <c r="C75" s="449">
        <v>832800</v>
      </c>
      <c r="D75" s="449"/>
      <c r="E75" s="450">
        <v>0</v>
      </c>
      <c r="F75" s="429">
        <f t="shared" si="1"/>
        <v>0</v>
      </c>
    </row>
    <row r="76" spans="2:7" x14ac:dyDescent="0.25">
      <c r="B76" s="451" t="s">
        <v>239</v>
      </c>
      <c r="C76" s="449">
        <v>50821325.17492</v>
      </c>
      <c r="D76" s="449"/>
      <c r="E76" s="450">
        <v>23091176.786666665</v>
      </c>
      <c r="F76" s="429">
        <f t="shared" si="1"/>
        <v>1.0625071457937261E-2</v>
      </c>
      <c r="G76" s="215">
        <f>+E76/12</f>
        <v>1924264.732222222</v>
      </c>
    </row>
    <row r="77" spans="2:7" x14ac:dyDescent="0.25">
      <c r="B77" s="451" t="s">
        <v>240</v>
      </c>
      <c r="C77" s="449">
        <v>4763824.2</v>
      </c>
      <c r="D77" s="449"/>
      <c r="E77" s="449">
        <v>4800000</v>
      </c>
      <c r="F77" s="429">
        <f t="shared" si="1"/>
        <v>2.2086506664115765E-3</v>
      </c>
    </row>
    <row r="78" spans="2:7" x14ac:dyDescent="0.25">
      <c r="B78" s="451" t="s">
        <v>241</v>
      </c>
      <c r="C78" s="449">
        <v>12492000</v>
      </c>
      <c r="D78" s="449"/>
      <c r="E78" s="449">
        <v>11976000</v>
      </c>
      <c r="F78" s="429">
        <f t="shared" si="1"/>
        <v>5.5105834126968831E-3</v>
      </c>
    </row>
    <row r="79" spans="2:7" x14ac:dyDescent="0.25">
      <c r="B79" s="451" t="s">
        <v>242</v>
      </c>
      <c r="C79" s="449">
        <v>2602500</v>
      </c>
      <c r="D79" s="449"/>
      <c r="E79" s="449">
        <v>2712000</v>
      </c>
      <c r="F79" s="429">
        <f t="shared" si="1"/>
        <v>1.2478876265225407E-3</v>
      </c>
    </row>
    <row r="80" spans="2:7" x14ac:dyDescent="0.25">
      <c r="B80" s="451" t="s">
        <v>243</v>
      </c>
      <c r="C80" s="449">
        <v>22381500</v>
      </c>
      <c r="D80" s="449"/>
      <c r="E80" s="449">
        <v>18985549</v>
      </c>
      <c r="F80" s="429">
        <f t="shared" si="1"/>
        <v>8.7359261356332579E-3</v>
      </c>
    </row>
    <row r="81" spans="2:6" x14ac:dyDescent="0.25">
      <c r="B81" s="451" t="s">
        <v>244</v>
      </c>
      <c r="C81" s="449">
        <v>122382000</v>
      </c>
      <c r="D81" s="449"/>
      <c r="E81" s="449">
        <v>113512500</v>
      </c>
      <c r="F81" s="429">
        <f t="shared" si="1"/>
        <v>5.223113724396751E-2</v>
      </c>
    </row>
    <row r="82" spans="2:6" x14ac:dyDescent="0.25">
      <c r="B82" s="451" t="s">
        <v>245</v>
      </c>
      <c r="C82" s="449">
        <v>9369000</v>
      </c>
      <c r="D82" s="449"/>
      <c r="E82" s="449">
        <v>9720000</v>
      </c>
      <c r="F82" s="429">
        <f t="shared" si="1"/>
        <v>4.4725175994834417E-3</v>
      </c>
    </row>
    <row r="83" spans="2:6" x14ac:dyDescent="0.25">
      <c r="B83" s="451" t="s">
        <v>437</v>
      </c>
      <c r="C83" s="453">
        <v>13504992</v>
      </c>
      <c r="D83" s="453"/>
      <c r="E83" s="453">
        <v>13500000</v>
      </c>
      <c r="F83" s="454">
        <f t="shared" si="1"/>
        <v>6.2118299992825581E-3</v>
      </c>
    </row>
    <row r="84" spans="2:6" x14ac:dyDescent="0.25">
      <c r="B84" s="455" t="s">
        <v>658</v>
      </c>
      <c r="C84" s="456"/>
      <c r="D84" s="456"/>
      <c r="E84" s="456">
        <v>0</v>
      </c>
      <c r="F84" s="429"/>
    </row>
    <row r="85" spans="2:6" x14ac:dyDescent="0.25">
      <c r="B85" s="455" t="s">
        <v>642</v>
      </c>
      <c r="C85" s="456">
        <v>3000000</v>
      </c>
      <c r="D85" s="456"/>
      <c r="E85" s="456">
        <v>2880000</v>
      </c>
      <c r="F85" s="429">
        <f t="shared" si="1"/>
        <v>1.3251903998469457E-3</v>
      </c>
    </row>
    <row r="86" spans="2:6" x14ac:dyDescent="0.25">
      <c r="B86" s="455" t="s">
        <v>672</v>
      </c>
      <c r="C86" s="456">
        <v>15000000</v>
      </c>
      <c r="D86" s="456"/>
      <c r="E86" s="456">
        <v>5004000</v>
      </c>
      <c r="F86" s="429"/>
    </row>
    <row r="87" spans="2:6" x14ac:dyDescent="0.25">
      <c r="B87" s="455" t="s">
        <v>673</v>
      </c>
      <c r="C87" s="457">
        <v>5000000</v>
      </c>
      <c r="D87" s="457"/>
      <c r="E87" s="457">
        <v>6000000</v>
      </c>
      <c r="F87" s="458"/>
    </row>
    <row r="88" spans="2:6" x14ac:dyDescent="0.25">
      <c r="B88" s="433" t="s">
        <v>674</v>
      </c>
      <c r="C88" s="431">
        <f>SUM(C47:C87)</f>
        <v>581275719.62360001</v>
      </c>
      <c r="D88" s="431"/>
      <c r="E88" s="431">
        <f>SUM(E47:E87)</f>
        <v>562558600.53111112</v>
      </c>
      <c r="F88" s="432">
        <f>E88/$E$5</f>
        <v>0.25885321415804213</v>
      </c>
    </row>
    <row r="89" spans="2:6" x14ac:dyDescent="0.25">
      <c r="B89" s="433" t="s">
        <v>675</v>
      </c>
      <c r="C89" s="431">
        <f>C11+C45+C88</f>
        <v>1814826757.2459087</v>
      </c>
      <c r="D89" s="431"/>
      <c r="E89" s="431">
        <f>E11+E45+E88</f>
        <v>1779179477.8810935</v>
      </c>
      <c r="F89" s="432">
        <f>E89/$E$5</f>
        <v>0.81866373739330778</v>
      </c>
    </row>
    <row r="90" spans="2:6" x14ac:dyDescent="0.25">
      <c r="B90" s="433" t="s">
        <v>101</v>
      </c>
      <c r="C90" s="431">
        <f>C6-C89</f>
        <v>369938309.70373726</v>
      </c>
      <c r="D90" s="431"/>
      <c r="E90" s="431">
        <f>E6-E89</f>
        <v>394093132.85667562</v>
      </c>
      <c r="F90" s="432">
        <f>E90/$E$5</f>
        <v>0.18133626260669219</v>
      </c>
    </row>
    <row r="91" spans="2:6" x14ac:dyDescent="0.25">
      <c r="B91" s="459" t="s">
        <v>102</v>
      </c>
      <c r="C91" s="425" t="s">
        <v>660</v>
      </c>
      <c r="D91" s="425"/>
      <c r="E91" s="425" t="s">
        <v>660</v>
      </c>
      <c r="F91" s="426" t="s">
        <v>661</v>
      </c>
    </row>
    <row r="92" spans="2:6" x14ac:dyDescent="0.25">
      <c r="B92" s="460" t="s">
        <v>103</v>
      </c>
      <c r="C92" s="427"/>
      <c r="D92" s="427"/>
      <c r="E92" s="428">
        <v>20974475.840421196</v>
      </c>
      <c r="F92" s="461"/>
    </row>
    <row r="93" spans="2:6" x14ac:dyDescent="0.25">
      <c r="B93" s="462" t="s">
        <v>104</v>
      </c>
      <c r="C93" s="428"/>
      <c r="D93" s="428"/>
      <c r="E93" s="428"/>
      <c r="F93" s="428"/>
    </row>
    <row r="94" spans="2:6" x14ac:dyDescent="0.25">
      <c r="B94" s="463" t="s">
        <v>55</v>
      </c>
      <c r="C94" s="428"/>
      <c r="D94" s="428"/>
      <c r="E94" s="428" t="s">
        <v>31</v>
      </c>
      <c r="F94" s="464"/>
    </row>
    <row r="95" spans="2:6" x14ac:dyDescent="0.25">
      <c r="B95" s="465" t="s">
        <v>105</v>
      </c>
      <c r="C95" s="466">
        <f>SUM(C94)</f>
        <v>0</v>
      </c>
      <c r="D95" s="466"/>
      <c r="E95" s="466">
        <f>SUM(E92:E94)</f>
        <v>20974475.840421196</v>
      </c>
      <c r="F95" s="432">
        <f>E95/$E$5</f>
        <v>9.651102092204121E-3</v>
      </c>
    </row>
    <row r="96" spans="2:6" x14ac:dyDescent="0.25">
      <c r="B96" s="467" t="s">
        <v>108</v>
      </c>
      <c r="C96" s="431">
        <f>C90+C94</f>
        <v>369938309.70373726</v>
      </c>
      <c r="D96" s="431"/>
      <c r="E96" s="431">
        <f>E90+E95</f>
        <v>415067608.69709682</v>
      </c>
      <c r="F96" s="432">
        <f>E96/$E$5</f>
        <v>0.19098736469889629</v>
      </c>
    </row>
    <row r="97" spans="2:6" x14ac:dyDescent="0.25">
      <c r="B97" s="467" t="s">
        <v>109</v>
      </c>
      <c r="C97" s="468">
        <f>C96</f>
        <v>369938309.70373726</v>
      </c>
      <c r="D97" s="431"/>
      <c r="E97" s="431">
        <f>E96</f>
        <v>415067608.69709682</v>
      </c>
      <c r="F97" s="432">
        <f>E97/$E$5</f>
        <v>0.19098736469889629</v>
      </c>
    </row>
    <row r="99" spans="2:6" x14ac:dyDescent="0.25">
      <c r="E99" s="470">
        <f>E92+E5</f>
        <v>2194247086.5781903</v>
      </c>
    </row>
    <row r="100" spans="2:6" x14ac:dyDescent="0.25">
      <c r="E100" s="471">
        <v>-298.98528361320496</v>
      </c>
    </row>
    <row r="122" spans="3:5" x14ac:dyDescent="0.25">
      <c r="C122" s="471">
        <f>SUM(C72:C76)</f>
        <v>102676094.99392</v>
      </c>
      <c r="E122" s="471">
        <v>88491694.931111112</v>
      </c>
    </row>
    <row r="123" spans="3:5" x14ac:dyDescent="0.25">
      <c r="C123" s="472">
        <f>C72/$C$122</f>
        <v>0.18052340281442905</v>
      </c>
      <c r="E123" s="423">
        <f>$E$122*C123</f>
        <v>15974821.88978054</v>
      </c>
    </row>
    <row r="124" spans="3:5" x14ac:dyDescent="0.25">
      <c r="C124" s="472">
        <f>C73/$C$122</f>
        <v>0.11236402230415146</v>
      </c>
      <c r="E124" s="423">
        <f>$E$122*C124</f>
        <v>9943282.7829715367</v>
      </c>
    </row>
    <row r="125" spans="3:5" x14ac:dyDescent="0.25">
      <c r="C125" s="472">
        <f>C74/$C$122</f>
        <v>0.2040341789025043</v>
      </c>
      <c r="E125" s="423">
        <f>$E$122*C125</f>
        <v>18055330.314960159</v>
      </c>
    </row>
    <row r="126" spans="3:5" x14ac:dyDescent="0.25">
      <c r="C126" s="472">
        <f>C75/$C$122</f>
        <v>8.1109434484172242E-3</v>
      </c>
      <c r="E126" s="423">
        <f>$E$122*C126</f>
        <v>717751.13324083132</v>
      </c>
    </row>
    <row r="127" spans="3:5" x14ac:dyDescent="0.25">
      <c r="C127" s="472">
        <f>C76/$C$122</f>
        <v>0.49496745253049801</v>
      </c>
      <c r="E127" s="423">
        <f>$E$122*C127</f>
        <v>43800508.810158052</v>
      </c>
    </row>
  </sheetData>
  <mergeCells count="2">
    <mergeCell ref="B2:F2"/>
    <mergeCell ref="B3:F3"/>
  </mergeCells>
  <pageMargins left="1" right="1" top="1" bottom="1" header="0.5" footer="0.5"/>
  <pageSetup scale="90" orientation="portrait"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4"/>
  <dimension ref="A1:L347"/>
  <sheetViews>
    <sheetView zoomScale="110" zoomScaleNormal="110" workbookViewId="0">
      <selection activeCell="F55" sqref="F55"/>
    </sheetView>
  </sheetViews>
  <sheetFormatPr baseColWidth="10" defaultRowHeight="20.100000000000001" customHeight="1" x14ac:dyDescent="0.25"/>
  <cols>
    <col min="1" max="1" width="33" style="397" customWidth="1"/>
    <col min="2" max="2" width="15.21875" style="389" customWidth="1"/>
    <col min="3" max="3" width="4.77734375" style="389" customWidth="1"/>
    <col min="4" max="4" width="15.21875" style="389" customWidth="1"/>
    <col min="5" max="5" width="4.77734375" style="389" customWidth="1"/>
    <col min="6" max="6" width="15.21875" style="389" customWidth="1"/>
    <col min="7" max="8" width="0" style="389" hidden="1" customWidth="1"/>
    <col min="9" max="9" width="11.5546875" style="389"/>
    <col min="10" max="10" width="13" style="389" bestFit="1" customWidth="1"/>
    <col min="11" max="12" width="11.5546875" style="389"/>
    <col min="13" max="16384" width="11.5546875" style="369"/>
  </cols>
  <sheetData>
    <row r="1" spans="1:12" s="390" customFormat="1" ht="27" customHeight="1" x14ac:dyDescent="0.5">
      <c r="A1" s="1251" t="s">
        <v>684</v>
      </c>
      <c r="B1" s="1252"/>
      <c r="C1" s="1252"/>
      <c r="D1" s="1252"/>
      <c r="E1" s="1252"/>
      <c r="F1" s="1252"/>
      <c r="G1" s="389"/>
      <c r="H1" s="389"/>
      <c r="I1" s="389"/>
      <c r="J1" s="389"/>
      <c r="K1" s="389"/>
      <c r="L1" s="389"/>
    </row>
    <row r="2" spans="1:12" s="390" customFormat="1" ht="14.25" x14ac:dyDescent="0.25">
      <c r="A2" s="396"/>
      <c r="B2" s="389"/>
      <c r="C2" s="389"/>
      <c r="D2" s="389"/>
      <c r="E2" s="389"/>
      <c r="F2" s="389"/>
      <c r="G2" s="389"/>
      <c r="H2" s="389"/>
      <c r="I2" s="389"/>
      <c r="J2" s="389"/>
      <c r="K2" s="389"/>
      <c r="L2" s="389"/>
    </row>
    <row r="3" spans="1:12" s="392" customFormat="1" ht="14.25" x14ac:dyDescent="0.25">
      <c r="A3" s="1253" t="s">
        <v>218</v>
      </c>
      <c r="B3" s="487"/>
      <c r="C3" s="487"/>
      <c r="D3" s="514" t="s">
        <v>688</v>
      </c>
      <c r="E3" s="389"/>
      <c r="F3" s="487"/>
      <c r="G3" s="389"/>
      <c r="H3" s="389"/>
      <c r="I3" s="389"/>
      <c r="J3" s="389"/>
      <c r="K3" s="389"/>
      <c r="L3" s="389"/>
    </row>
    <row r="4" spans="1:12" ht="14.25" x14ac:dyDescent="0.25">
      <c r="A4" s="1253"/>
      <c r="B4" s="391" t="s">
        <v>676</v>
      </c>
      <c r="C4" s="488"/>
      <c r="D4" s="391" t="s">
        <v>677</v>
      </c>
      <c r="F4" s="391" t="s">
        <v>678</v>
      </c>
    </row>
    <row r="5" spans="1:12" ht="14.25" x14ac:dyDescent="0.25">
      <c r="A5" s="369" t="s">
        <v>220</v>
      </c>
      <c r="B5" s="393">
        <f>+'EJE PRESUPUESTAL '!B7</f>
        <v>6402964047</v>
      </c>
      <c r="C5" s="489"/>
      <c r="D5" s="477">
        <v>2350318069.263536</v>
      </c>
      <c r="F5" s="393">
        <f>+D5-B5</f>
        <v>-4052645977.736464</v>
      </c>
    </row>
    <row r="6" spans="1:12" s="390" customFormat="1" ht="14.25" x14ac:dyDescent="0.25">
      <c r="A6" s="369" t="s">
        <v>649</v>
      </c>
      <c r="B6" s="393">
        <f>+'EJE PRESUPUESTAL '!B8</f>
        <v>319408338</v>
      </c>
      <c r="C6" s="489"/>
      <c r="D6" s="393"/>
      <c r="E6" s="389"/>
      <c r="F6" s="393">
        <f>+D6-B6</f>
        <v>-319408338</v>
      </c>
      <c r="G6" s="389"/>
      <c r="H6" s="389"/>
      <c r="I6" s="389"/>
      <c r="J6" s="389"/>
      <c r="K6" s="389"/>
      <c r="L6" s="389"/>
    </row>
    <row r="7" spans="1:12" s="402" customFormat="1" ht="14.25" x14ac:dyDescent="0.25">
      <c r="A7" s="394" t="s">
        <v>221</v>
      </c>
      <c r="B7" s="395">
        <f>SUM(B5:B6)</f>
        <v>6722372385</v>
      </c>
      <c r="C7" s="399"/>
      <c r="D7" s="395">
        <f>SUM(D5:D6)</f>
        <v>2350318069.263536</v>
      </c>
      <c r="E7" s="396"/>
      <c r="F7" s="395">
        <f>SUM(F5:F6)</f>
        <v>-4372054315.7364635</v>
      </c>
      <c r="G7" s="396"/>
      <c r="H7" s="396"/>
      <c r="I7" s="396"/>
      <c r="J7" s="396"/>
      <c r="K7" s="396"/>
      <c r="L7" s="396"/>
    </row>
    <row r="8" spans="1:12" s="396" customFormat="1" ht="14.25" x14ac:dyDescent="0.25">
      <c r="A8" s="490"/>
      <c r="B8" s="399"/>
      <c r="C8" s="399"/>
      <c r="D8" s="399"/>
      <c r="F8" s="399"/>
    </row>
    <row r="9" spans="1:12" s="396" customFormat="1" ht="14.25" x14ac:dyDescent="0.25">
      <c r="A9" s="490"/>
      <c r="B9" s="399"/>
      <c r="C9" s="399"/>
      <c r="D9" s="399"/>
      <c r="F9" s="399"/>
    </row>
    <row r="10" spans="1:12" s="389" customFormat="1" ht="14.25" x14ac:dyDescent="0.25">
      <c r="A10" s="1253" t="s">
        <v>222</v>
      </c>
      <c r="B10" s="491"/>
      <c r="C10" s="491"/>
      <c r="D10" s="491"/>
      <c r="F10" s="491"/>
    </row>
    <row r="11" spans="1:12" s="392" customFormat="1" ht="14.25" x14ac:dyDescent="0.25">
      <c r="A11" s="1253"/>
      <c r="B11" s="391" t="s">
        <v>676</v>
      </c>
      <c r="C11" s="488"/>
      <c r="D11" s="391" t="s">
        <v>677</v>
      </c>
      <c r="E11" s="389"/>
      <c r="F11" s="391" t="s">
        <v>678</v>
      </c>
      <c r="G11" s="389"/>
      <c r="H11" s="389"/>
      <c r="I11" s="389"/>
      <c r="J11" s="389"/>
      <c r="K11" s="389"/>
      <c r="L11" s="389"/>
    </row>
    <row r="12" spans="1:12" ht="14.25" x14ac:dyDescent="0.25">
      <c r="A12" s="369" t="s">
        <v>55</v>
      </c>
      <c r="B12" s="393">
        <f>+'EJE PRESUPUESTAL '!B14</f>
        <v>589747667.71000004</v>
      </c>
      <c r="C12" s="489"/>
      <c r="D12" s="477">
        <v>271693647.13519102</v>
      </c>
      <c r="F12" s="393">
        <f>+D12-B12</f>
        <v>-318054020.57480901</v>
      </c>
    </row>
    <row r="13" spans="1:12" ht="14.25" x14ac:dyDescent="0.25">
      <c r="A13" s="369" t="s">
        <v>648</v>
      </c>
      <c r="B13" s="393">
        <f>+'EJE PRESUPUESTAL '!B16</f>
        <v>1775503214.3399999</v>
      </c>
      <c r="C13" s="489"/>
      <c r="D13" s="477">
        <v>337620805.61054599</v>
      </c>
      <c r="F13" s="393">
        <f>+D13-B13</f>
        <v>-1437882408.729454</v>
      </c>
    </row>
    <row r="14" spans="1:12" ht="14.25" x14ac:dyDescent="0.25">
      <c r="A14" s="369" t="s">
        <v>54</v>
      </c>
      <c r="B14" s="393">
        <f>+'EJE PRESUPUESTAL '!B17</f>
        <v>598001884</v>
      </c>
      <c r="C14" s="489"/>
      <c r="D14" s="511">
        <v>139231438.96089345</v>
      </c>
      <c r="F14" s="393">
        <f>+D14-B14</f>
        <v>-458770445.03910655</v>
      </c>
    </row>
    <row r="15" spans="1:12" s="397" customFormat="1" ht="14.25" x14ac:dyDescent="0.25">
      <c r="A15" s="394" t="s">
        <v>223</v>
      </c>
      <c r="B15" s="395">
        <f>SUM(B12:B14)</f>
        <v>2963252766.0500002</v>
      </c>
      <c r="C15" s="399"/>
      <c r="D15" s="395">
        <f>SUM(D12:D14)</f>
        <v>748545891.70663047</v>
      </c>
      <c r="E15" s="396"/>
      <c r="F15" s="395">
        <f>SUM(F12:F14)</f>
        <v>-2214706874.3433695</v>
      </c>
      <c r="G15" s="396"/>
      <c r="H15" s="396"/>
      <c r="I15" s="396"/>
      <c r="J15" s="396"/>
      <c r="K15" s="396"/>
      <c r="L15" s="396"/>
    </row>
    <row r="16" spans="1:12" ht="14.25" x14ac:dyDescent="0.25">
      <c r="A16" s="394" t="s">
        <v>397</v>
      </c>
      <c r="B16" s="395">
        <f>+B7-B15</f>
        <v>3759119618.9499998</v>
      </c>
      <c r="C16" s="399"/>
      <c r="D16" s="395">
        <f>+D7-D15</f>
        <v>1601772177.5569055</v>
      </c>
      <c r="F16" s="395">
        <f>+F7-F15</f>
        <v>-2157347441.3930941</v>
      </c>
    </row>
    <row r="17" spans="1:12" ht="14.25" x14ac:dyDescent="0.25">
      <c r="A17" s="490"/>
      <c r="B17" s="399"/>
      <c r="C17" s="399"/>
      <c r="D17" s="399"/>
      <c r="F17" s="399"/>
    </row>
    <row r="18" spans="1:12" ht="14.25" x14ac:dyDescent="0.25">
      <c r="A18" s="490"/>
      <c r="B18" s="399"/>
      <c r="C18" s="399"/>
      <c r="D18" s="399"/>
      <c r="F18" s="399"/>
      <c r="K18" s="400"/>
      <c r="L18" s="369"/>
    </row>
    <row r="19" spans="1:12" ht="14.25" x14ac:dyDescent="0.25">
      <c r="A19" s="1253" t="s">
        <v>224</v>
      </c>
      <c r="B19" s="487"/>
      <c r="C19" s="487"/>
      <c r="D19" s="487"/>
      <c r="F19" s="487"/>
      <c r="K19" s="400"/>
      <c r="L19" s="369"/>
    </row>
    <row r="20" spans="1:12" ht="14.25" x14ac:dyDescent="0.25">
      <c r="A20" s="1253" t="s">
        <v>60</v>
      </c>
      <c r="B20" s="391" t="s">
        <v>676</v>
      </c>
      <c r="C20" s="492"/>
      <c r="D20" s="391" t="s">
        <v>677</v>
      </c>
      <c r="F20" s="391" t="s">
        <v>678</v>
      </c>
      <c r="K20" s="400"/>
      <c r="L20" s="369"/>
    </row>
    <row r="21" spans="1:12" ht="14.25" x14ac:dyDescent="0.25">
      <c r="A21" s="368" t="s">
        <v>60</v>
      </c>
      <c r="B21" s="393">
        <f>+'EJE PRESUPUESTAL '!B25</f>
        <v>772370902</v>
      </c>
      <c r="C21" s="489"/>
      <c r="D21" s="364">
        <f>286870683-5000000</f>
        <v>281870683</v>
      </c>
      <c r="F21" s="393">
        <f>+D21-B21</f>
        <v>-490500219</v>
      </c>
      <c r="G21" s="389">
        <f>+D21/12</f>
        <v>23489223.583333332</v>
      </c>
      <c r="H21" s="389">
        <f>+G21*6</f>
        <v>140935341.5</v>
      </c>
      <c r="K21" s="400"/>
      <c r="L21" s="369"/>
    </row>
    <row r="22" spans="1:12" ht="14.25" x14ac:dyDescent="0.25">
      <c r="A22" s="368" t="s">
        <v>61</v>
      </c>
      <c r="B22" s="393">
        <f>+'EJE PRESUPUESTAL '!B26</f>
        <v>17713835</v>
      </c>
      <c r="C22" s="489"/>
      <c r="D22" s="364">
        <v>3384000</v>
      </c>
      <c r="F22" s="393">
        <f t="shared" ref="F22:F34" si="0">+D22-B22</f>
        <v>-14329835</v>
      </c>
      <c r="G22" s="389">
        <f t="shared" ref="G22:G34" si="1">+D22/12</f>
        <v>282000</v>
      </c>
      <c r="H22" s="389">
        <f t="shared" ref="H22:H34" si="2">+G22*6</f>
        <v>1692000</v>
      </c>
      <c r="K22" s="400"/>
      <c r="L22" s="369"/>
    </row>
    <row r="23" spans="1:12" ht="14.25" x14ac:dyDescent="0.25">
      <c r="A23" s="368" t="s">
        <v>62</v>
      </c>
      <c r="B23" s="393">
        <f>+'EJE PRESUPUESTAL '!B27</f>
        <v>69827611</v>
      </c>
      <c r="C23" s="489"/>
      <c r="D23" s="364">
        <v>24378591</v>
      </c>
      <c r="F23" s="393">
        <f t="shared" si="0"/>
        <v>-45449020</v>
      </c>
      <c r="G23" s="389">
        <f t="shared" si="1"/>
        <v>2031549.25</v>
      </c>
      <c r="H23" s="389">
        <f t="shared" si="2"/>
        <v>12189295.5</v>
      </c>
      <c r="K23" s="400"/>
      <c r="L23" s="369"/>
    </row>
    <row r="24" spans="1:12" ht="14.25" x14ac:dyDescent="0.25">
      <c r="A24" s="368" t="s">
        <v>63</v>
      </c>
      <c r="B24" s="393">
        <f>+'EJE PRESUPUESTAL '!B28</f>
        <v>8232858</v>
      </c>
      <c r="C24" s="489"/>
      <c r="D24" s="364">
        <v>2995456</v>
      </c>
      <c r="F24" s="393">
        <f t="shared" si="0"/>
        <v>-5237402</v>
      </c>
      <c r="G24" s="389">
        <f t="shared" si="1"/>
        <v>249621.33333333334</v>
      </c>
      <c r="H24" s="389">
        <f t="shared" si="2"/>
        <v>1497728</v>
      </c>
      <c r="K24" s="400"/>
      <c r="L24" s="369"/>
    </row>
    <row r="25" spans="1:12" ht="14.25" x14ac:dyDescent="0.25">
      <c r="A25" s="368" t="s">
        <v>64</v>
      </c>
      <c r="B25" s="393">
        <f>+'EJE PRESUPUESTAL '!B29</f>
        <v>65593179</v>
      </c>
      <c r="C25" s="489"/>
      <c r="D25" s="364">
        <v>25887890</v>
      </c>
      <c r="F25" s="393">
        <f t="shared" si="0"/>
        <v>-39705289</v>
      </c>
      <c r="G25" s="389">
        <f t="shared" si="1"/>
        <v>2157324.1666666665</v>
      </c>
      <c r="H25" s="389">
        <f t="shared" si="2"/>
        <v>12943945</v>
      </c>
      <c r="K25" s="400"/>
      <c r="L25" s="369"/>
    </row>
    <row r="26" spans="1:12" ht="14.25" x14ac:dyDescent="0.25">
      <c r="A26" s="368" t="s">
        <v>65</v>
      </c>
      <c r="B26" s="393">
        <f>+'EJE PRESUPUESTAL '!B30</f>
        <v>33000000</v>
      </c>
      <c r="C26" s="489"/>
      <c r="D26" s="364">
        <v>13334245</v>
      </c>
      <c r="F26" s="393">
        <f t="shared" si="0"/>
        <v>-19665755</v>
      </c>
      <c r="G26" s="389">
        <f t="shared" si="1"/>
        <v>1111187.0833333333</v>
      </c>
      <c r="H26" s="389">
        <f t="shared" si="2"/>
        <v>6667122.5</v>
      </c>
      <c r="K26" s="400"/>
      <c r="L26" s="369"/>
    </row>
    <row r="27" spans="1:12" ht="14.25" x14ac:dyDescent="0.25">
      <c r="A27" s="368" t="s">
        <v>66</v>
      </c>
      <c r="B27" s="393">
        <f>+'EJE PRESUPUESTAL '!B31</f>
        <v>69550920</v>
      </c>
      <c r="C27" s="489"/>
      <c r="D27" s="364">
        <f>59687544+2000000</f>
        <v>61687544</v>
      </c>
      <c r="F27" s="393">
        <f t="shared" si="0"/>
        <v>-7863376</v>
      </c>
      <c r="G27" s="389">
        <f t="shared" si="1"/>
        <v>5140628.666666667</v>
      </c>
      <c r="H27" s="389">
        <f t="shared" si="2"/>
        <v>30843772</v>
      </c>
      <c r="K27" s="400"/>
      <c r="L27" s="369"/>
    </row>
    <row r="28" spans="1:12" ht="14.25" x14ac:dyDescent="0.25">
      <c r="A28" s="368" t="s">
        <v>67</v>
      </c>
      <c r="B28" s="393">
        <f>+'EJE PRESUPUESTAL '!B32</f>
        <v>140315500</v>
      </c>
      <c r="C28" s="489"/>
      <c r="D28" s="364">
        <f>23905890+3000000</f>
        <v>26905890</v>
      </c>
      <c r="F28" s="393">
        <f t="shared" si="0"/>
        <v>-113409610</v>
      </c>
      <c r="G28" s="389">
        <f t="shared" si="1"/>
        <v>2242157.5</v>
      </c>
      <c r="H28" s="389">
        <f t="shared" si="2"/>
        <v>13452945</v>
      </c>
      <c r="K28" s="400"/>
      <c r="L28" s="369"/>
    </row>
    <row r="29" spans="1:12" ht="14.25" x14ac:dyDescent="0.25">
      <c r="A29" s="368" t="s">
        <v>68</v>
      </c>
      <c r="B29" s="393">
        <f>+'EJE PRESUPUESTAL '!B33</f>
        <v>3505799</v>
      </c>
      <c r="C29" s="489"/>
      <c r="D29" s="364">
        <v>9240012</v>
      </c>
      <c r="F29" s="393">
        <f t="shared" si="0"/>
        <v>5734213</v>
      </c>
      <c r="G29" s="389">
        <f t="shared" si="1"/>
        <v>770001</v>
      </c>
      <c r="H29" s="389">
        <f t="shared" si="2"/>
        <v>4620006</v>
      </c>
      <c r="K29" s="400"/>
      <c r="L29" s="369"/>
    </row>
    <row r="30" spans="1:12" ht="14.25" x14ac:dyDescent="0.25">
      <c r="A30" s="368" t="s">
        <v>69</v>
      </c>
      <c r="B30" s="393">
        <f>+'EJE PRESUPUESTAL '!B35</f>
        <v>10034660</v>
      </c>
      <c r="C30" s="489"/>
      <c r="D30" s="364">
        <f>9744000+5000000</f>
        <v>14744000</v>
      </c>
      <c r="F30" s="393">
        <f t="shared" si="0"/>
        <v>4709340</v>
      </c>
      <c r="G30" s="389">
        <f t="shared" si="1"/>
        <v>1228666.6666666667</v>
      </c>
      <c r="H30" s="389">
        <f t="shared" si="2"/>
        <v>7372000</v>
      </c>
      <c r="K30" s="400"/>
      <c r="L30" s="369"/>
    </row>
    <row r="31" spans="1:12" ht="14.25" x14ac:dyDescent="0.25">
      <c r="A31" s="368" t="s">
        <v>225</v>
      </c>
      <c r="B31" s="393">
        <f>+'EJE PRESUPUESTAL '!B36</f>
        <v>72010474</v>
      </c>
      <c r="C31" s="489"/>
      <c r="D31" s="364">
        <v>24384008</v>
      </c>
      <c r="F31" s="393">
        <f t="shared" si="0"/>
        <v>-47626466</v>
      </c>
      <c r="G31" s="389">
        <f t="shared" si="1"/>
        <v>2032000.6666666667</v>
      </c>
      <c r="H31" s="389">
        <f t="shared" si="2"/>
        <v>12192004</v>
      </c>
      <c r="K31" s="400"/>
      <c r="L31" s="369"/>
    </row>
    <row r="32" spans="1:12" ht="14.25" x14ac:dyDescent="0.25">
      <c r="A32" s="368" t="s">
        <v>226</v>
      </c>
      <c r="B32" s="393">
        <f>+'EJE PRESUPUESTAL '!B37</f>
        <v>100070014</v>
      </c>
      <c r="C32" s="489"/>
      <c r="D32" s="364">
        <v>34424482</v>
      </c>
      <c r="F32" s="393">
        <f t="shared" si="0"/>
        <v>-65645532</v>
      </c>
      <c r="G32" s="389">
        <f t="shared" si="1"/>
        <v>2868706.8333333335</v>
      </c>
      <c r="H32" s="389">
        <f t="shared" si="2"/>
        <v>17212241</v>
      </c>
      <c r="K32" s="400"/>
      <c r="L32" s="369"/>
    </row>
    <row r="33" spans="1:12" ht="14.25" x14ac:dyDescent="0.25">
      <c r="A33" s="368" t="s">
        <v>227</v>
      </c>
      <c r="B33" s="393">
        <f>+'EJE PRESUPUESTAL '!B38</f>
        <v>16955800</v>
      </c>
      <c r="C33" s="489"/>
      <c r="D33" s="364">
        <v>4999225</v>
      </c>
      <c r="F33" s="393">
        <f t="shared" si="0"/>
        <v>-11956575</v>
      </c>
      <c r="G33" s="389">
        <f t="shared" si="1"/>
        <v>416602.08333333331</v>
      </c>
      <c r="H33" s="389">
        <f t="shared" si="2"/>
        <v>2499612.5</v>
      </c>
      <c r="K33" s="400"/>
      <c r="L33" s="369"/>
    </row>
    <row r="34" spans="1:12" ht="14.25" x14ac:dyDescent="0.25">
      <c r="A34" s="361" t="s">
        <v>122</v>
      </c>
      <c r="B34" s="393">
        <f>+'EJE PRESUPUESTAL '!B39</f>
        <v>71372000</v>
      </c>
      <c r="C34" s="489"/>
      <c r="D34" s="364">
        <v>25818361</v>
      </c>
      <c r="F34" s="393">
        <f t="shared" si="0"/>
        <v>-45553639</v>
      </c>
      <c r="G34" s="389">
        <f t="shared" si="1"/>
        <v>2151530.0833333335</v>
      </c>
      <c r="H34" s="389">
        <f t="shared" si="2"/>
        <v>12909180.5</v>
      </c>
      <c r="K34" s="400"/>
      <c r="L34" s="369"/>
    </row>
    <row r="35" spans="1:12" ht="14.25" x14ac:dyDescent="0.25">
      <c r="A35" s="394" t="s">
        <v>228</v>
      </c>
      <c r="B35" s="395">
        <f>SUM(B21:B34)</f>
        <v>1450553552</v>
      </c>
      <c r="C35" s="399"/>
      <c r="D35" s="395">
        <f>SUM(D21:D34)</f>
        <v>554054387</v>
      </c>
      <c r="F35" s="395">
        <f>SUM(F21:F34)</f>
        <v>-896499165</v>
      </c>
      <c r="K35" s="400"/>
      <c r="L35" s="369"/>
    </row>
    <row r="36" spans="1:12" ht="14.25" x14ac:dyDescent="0.25">
      <c r="A36" s="490"/>
      <c r="B36" s="399"/>
      <c r="C36" s="399"/>
      <c r="D36" s="399"/>
      <c r="F36" s="399"/>
      <c r="K36" s="400"/>
      <c r="L36" s="369"/>
    </row>
    <row r="37" spans="1:12" ht="14.25" x14ac:dyDescent="0.25">
      <c r="A37" s="493"/>
      <c r="B37" s="399"/>
      <c r="C37" s="399"/>
      <c r="D37" s="399"/>
      <c r="F37" s="399"/>
      <c r="K37" s="400"/>
      <c r="L37" s="369"/>
    </row>
    <row r="38" spans="1:12" ht="14.25" x14ac:dyDescent="0.25">
      <c r="A38" s="1253" t="s">
        <v>229</v>
      </c>
      <c r="B38" s="494"/>
      <c r="C38" s="399"/>
      <c r="D38" s="494"/>
      <c r="F38" s="494"/>
      <c r="K38" s="400"/>
      <c r="L38" s="369"/>
    </row>
    <row r="39" spans="1:12" ht="14.25" x14ac:dyDescent="0.25">
      <c r="A39" s="1253"/>
      <c r="B39" s="391" t="s">
        <v>676</v>
      </c>
      <c r="C39" s="492"/>
      <c r="D39" s="391" t="s">
        <v>677</v>
      </c>
      <c r="F39" s="391" t="s">
        <v>678</v>
      </c>
      <c r="K39" s="400"/>
      <c r="L39" s="369"/>
    </row>
    <row r="40" spans="1:12" ht="14.25" x14ac:dyDescent="0.25">
      <c r="A40" s="368" t="s">
        <v>230</v>
      </c>
      <c r="B40" s="393">
        <f>+'EJE PRESUPUESTAL '!B45</f>
        <v>31325496</v>
      </c>
      <c r="C40" s="489"/>
      <c r="D40" s="325">
        <v>7980000</v>
      </c>
      <c r="F40" s="393">
        <f>+D40-B40</f>
        <v>-23345496</v>
      </c>
      <c r="G40" s="389">
        <f>+D40/12</f>
        <v>665000</v>
      </c>
      <c r="H40" s="389">
        <f>+G40*6</f>
        <v>3990000</v>
      </c>
      <c r="K40" s="400"/>
      <c r="L40" s="369"/>
    </row>
    <row r="41" spans="1:12" ht="14.25" x14ac:dyDescent="0.25">
      <c r="A41" s="368" t="s">
        <v>231</v>
      </c>
      <c r="B41" s="393">
        <f>+'EJE PRESUPUESTAL '!B46</f>
        <v>46410000</v>
      </c>
      <c r="C41" s="489"/>
      <c r="D41" s="325">
        <v>14628000</v>
      </c>
      <c r="F41" s="393">
        <f t="shared" ref="F41:F77" si="3">+D41-B41</f>
        <v>-31782000</v>
      </c>
      <c r="G41" s="389">
        <f t="shared" ref="G41:G77" si="4">+D41/12</f>
        <v>1219000</v>
      </c>
      <c r="H41" s="389">
        <f t="shared" ref="H41:H77" si="5">+G41*6</f>
        <v>7314000</v>
      </c>
      <c r="K41" s="400"/>
      <c r="L41" s="369"/>
    </row>
    <row r="42" spans="1:12" ht="14.25" x14ac:dyDescent="0.25">
      <c r="A42" s="368" t="s">
        <v>73</v>
      </c>
      <c r="B42" s="393">
        <f>+'EJE PRESUPUESTAL '!B47</f>
        <v>5254647</v>
      </c>
      <c r="C42" s="489"/>
      <c r="D42" s="325">
        <v>3950000</v>
      </c>
      <c r="F42" s="393">
        <f t="shared" si="3"/>
        <v>-1304647</v>
      </c>
      <c r="G42" s="389">
        <f t="shared" si="4"/>
        <v>329166.66666666669</v>
      </c>
      <c r="H42" s="389">
        <f t="shared" si="5"/>
        <v>1975000</v>
      </c>
      <c r="K42" s="400"/>
      <c r="L42" s="369"/>
    </row>
    <row r="43" spans="1:12" s="505" customFormat="1" ht="14.25" x14ac:dyDescent="0.25">
      <c r="A43" s="501" t="s">
        <v>493</v>
      </c>
      <c r="B43" s="500">
        <f>+'EJE PRESUPUESTAL '!B48</f>
        <v>10838861</v>
      </c>
      <c r="C43" s="502"/>
      <c r="D43" s="499">
        <v>3950000</v>
      </c>
      <c r="E43" s="503"/>
      <c r="F43" s="500">
        <f t="shared" si="3"/>
        <v>-6888861</v>
      </c>
      <c r="G43" s="503">
        <f t="shared" si="4"/>
        <v>329166.66666666669</v>
      </c>
      <c r="H43" s="503">
        <f t="shared" si="5"/>
        <v>1975000</v>
      </c>
      <c r="I43" s="503"/>
      <c r="J43" s="503"/>
      <c r="K43" s="504"/>
    </row>
    <row r="44" spans="1:12" ht="14.25" x14ac:dyDescent="0.25">
      <c r="A44" s="368" t="s">
        <v>76</v>
      </c>
      <c r="B44" s="393">
        <f>+'EJE PRESUPUESTAL '!B49</f>
        <v>16137190</v>
      </c>
      <c r="C44" s="489"/>
      <c r="D44" s="325">
        <v>5000000</v>
      </c>
      <c r="F44" s="393">
        <f t="shared" si="3"/>
        <v>-11137190</v>
      </c>
      <c r="G44" s="389">
        <f t="shared" si="4"/>
        <v>416666.66666666669</v>
      </c>
      <c r="H44" s="389">
        <f t="shared" si="5"/>
        <v>2500000</v>
      </c>
      <c r="K44" s="400"/>
      <c r="L44" s="369"/>
    </row>
    <row r="45" spans="1:12" ht="14.25" x14ac:dyDescent="0.25">
      <c r="A45" s="368" t="s">
        <v>77</v>
      </c>
      <c r="B45" s="393">
        <f>+'EJE PRESUPUESTAL '!B50</f>
        <v>8201770</v>
      </c>
      <c r="C45" s="489"/>
      <c r="D45" s="325">
        <v>16000000</v>
      </c>
      <c r="F45" s="393">
        <f t="shared" si="3"/>
        <v>7798230</v>
      </c>
      <c r="G45" s="389">
        <f t="shared" si="4"/>
        <v>1333333.3333333333</v>
      </c>
      <c r="H45" s="389">
        <f t="shared" si="5"/>
        <v>8000000</v>
      </c>
      <c r="K45" s="400"/>
      <c r="L45" s="369"/>
    </row>
    <row r="46" spans="1:12" ht="14.25" x14ac:dyDescent="0.25">
      <c r="A46" s="368" t="s">
        <v>436</v>
      </c>
      <c r="B46" s="393">
        <f>+'EJE PRESUPUESTAL '!B51</f>
        <v>3594000</v>
      </c>
      <c r="C46" s="489"/>
      <c r="D46" s="325">
        <v>11100000</v>
      </c>
      <c r="F46" s="393">
        <f t="shared" si="3"/>
        <v>7506000</v>
      </c>
      <c r="G46" s="389">
        <f t="shared" si="4"/>
        <v>925000</v>
      </c>
      <c r="H46" s="389">
        <f t="shared" si="5"/>
        <v>5550000</v>
      </c>
      <c r="K46" s="400"/>
      <c r="L46" s="369"/>
    </row>
    <row r="47" spans="1:12" ht="14.25" x14ac:dyDescent="0.25">
      <c r="A47" s="368" t="s">
        <v>232</v>
      </c>
      <c r="B47" s="393">
        <f>+'EJE PRESUPUESTAL '!B52</f>
        <v>16208942</v>
      </c>
      <c r="C47" s="489"/>
      <c r="D47" s="325">
        <v>4850000</v>
      </c>
      <c r="F47" s="393">
        <f t="shared" si="3"/>
        <v>-11358942</v>
      </c>
      <c r="G47" s="389">
        <f t="shared" si="4"/>
        <v>404166.66666666669</v>
      </c>
      <c r="H47" s="389">
        <f t="shared" si="5"/>
        <v>2425000</v>
      </c>
      <c r="K47" s="400"/>
      <c r="L47" s="369"/>
    </row>
    <row r="48" spans="1:12" ht="14.25" x14ac:dyDescent="0.25">
      <c r="A48" s="368" t="s">
        <v>233</v>
      </c>
      <c r="B48" s="393">
        <f>+'EJE PRESUPUESTAL '!B53</f>
        <v>17201508</v>
      </c>
      <c r="C48" s="489"/>
      <c r="D48" s="325">
        <v>8800000</v>
      </c>
      <c r="F48" s="393">
        <f t="shared" si="3"/>
        <v>-8401508</v>
      </c>
      <c r="G48" s="389">
        <f t="shared" si="4"/>
        <v>733333.33333333337</v>
      </c>
      <c r="H48" s="389">
        <f t="shared" si="5"/>
        <v>4400000</v>
      </c>
      <c r="K48" s="400"/>
      <c r="L48" s="369"/>
    </row>
    <row r="49" spans="1:12" ht="14.25" x14ac:dyDescent="0.25">
      <c r="A49" s="368" t="s">
        <v>79</v>
      </c>
      <c r="B49" s="393">
        <f>+'EJE PRESUPUESTAL '!B55</f>
        <v>37658482</v>
      </c>
      <c r="C49" s="489"/>
      <c r="D49" s="325">
        <v>19500000</v>
      </c>
      <c r="F49" s="393">
        <f t="shared" si="3"/>
        <v>-18158482</v>
      </c>
      <c r="G49" s="389">
        <f t="shared" si="4"/>
        <v>1625000</v>
      </c>
      <c r="H49" s="389">
        <f t="shared" si="5"/>
        <v>9750000</v>
      </c>
      <c r="K49" s="400"/>
      <c r="L49" s="369"/>
    </row>
    <row r="50" spans="1:12" ht="14.25" x14ac:dyDescent="0.25">
      <c r="A50" s="368" t="s">
        <v>234</v>
      </c>
      <c r="B50" s="393" t="e">
        <f>+'EJE PRESUPUESTAL '!#REF!</f>
        <v>#REF!</v>
      </c>
      <c r="C50" s="489"/>
      <c r="D50" s="325">
        <v>15700000</v>
      </c>
      <c r="F50" s="393" t="e">
        <f t="shared" si="3"/>
        <v>#REF!</v>
      </c>
      <c r="G50" s="389">
        <f t="shared" si="4"/>
        <v>1308333.3333333333</v>
      </c>
      <c r="H50" s="389">
        <f t="shared" si="5"/>
        <v>7850000</v>
      </c>
      <c r="K50" s="400"/>
      <c r="L50" s="369"/>
    </row>
    <row r="51" spans="1:12" s="505" customFormat="1" ht="14.25" x14ac:dyDescent="0.25">
      <c r="A51" s="501" t="s">
        <v>81</v>
      </c>
      <c r="B51" s="500" t="e">
        <f>+'EJE PRESUPUESTAL '!#REF!</f>
        <v>#REF!</v>
      </c>
      <c r="C51" s="502"/>
      <c r="D51" s="325">
        <v>8500000</v>
      </c>
      <c r="E51" s="503"/>
      <c r="F51" s="500" t="e">
        <f t="shared" si="3"/>
        <v>#REF!</v>
      </c>
      <c r="G51" s="503">
        <f t="shared" si="4"/>
        <v>708333.33333333337</v>
      </c>
      <c r="H51" s="503">
        <f t="shared" si="5"/>
        <v>4250000</v>
      </c>
      <c r="I51" s="503"/>
      <c r="J51" s="503"/>
      <c r="K51" s="504"/>
    </row>
    <row r="52" spans="1:12" ht="14.25" x14ac:dyDescent="0.25">
      <c r="A52" s="368" t="s">
        <v>82</v>
      </c>
      <c r="B52" s="393">
        <f>+'EJE PRESUPUESTAL '!B57</f>
        <v>31316684</v>
      </c>
      <c r="C52" s="489"/>
      <c r="D52" s="325">
        <v>6500000</v>
      </c>
      <c r="F52" s="393">
        <f t="shared" si="3"/>
        <v>-24816684</v>
      </c>
      <c r="G52" s="389">
        <f t="shared" si="4"/>
        <v>541666.66666666663</v>
      </c>
      <c r="H52" s="389">
        <f t="shared" si="5"/>
        <v>3250000</v>
      </c>
      <c r="K52" s="400"/>
      <c r="L52" s="369"/>
    </row>
    <row r="53" spans="1:12" ht="14.25" x14ac:dyDescent="0.25">
      <c r="A53" s="368" t="s">
        <v>83</v>
      </c>
      <c r="B53" s="393">
        <f>+'EJE PRESUPUESTAL '!B58</f>
        <v>10710860</v>
      </c>
      <c r="C53" s="489"/>
      <c r="D53" s="325">
        <v>17000000</v>
      </c>
      <c r="F53" s="393">
        <f t="shared" si="3"/>
        <v>6289140</v>
      </c>
      <c r="G53" s="389">
        <f t="shared" si="4"/>
        <v>1416666.6666666667</v>
      </c>
      <c r="H53" s="389">
        <f t="shared" si="5"/>
        <v>8500000</v>
      </c>
      <c r="K53" s="400"/>
      <c r="L53" s="369"/>
    </row>
    <row r="54" spans="1:12" s="505" customFormat="1" ht="14.25" x14ac:dyDescent="0.25">
      <c r="A54" s="501" t="s">
        <v>84</v>
      </c>
      <c r="B54" s="500">
        <f>+'EJE PRESUPUESTAL '!B59</f>
        <v>46311725</v>
      </c>
      <c r="C54" s="502"/>
      <c r="D54" s="325">
        <v>26000000</v>
      </c>
      <c r="E54" s="503"/>
      <c r="F54" s="500">
        <f t="shared" si="3"/>
        <v>-20311725</v>
      </c>
      <c r="G54" s="503">
        <f t="shared" si="4"/>
        <v>2166666.6666666665</v>
      </c>
      <c r="H54" s="503">
        <f t="shared" si="5"/>
        <v>13000000</v>
      </c>
      <c r="I54" s="503"/>
      <c r="J54" s="503"/>
      <c r="K54" s="504"/>
    </row>
    <row r="55" spans="1:12" s="505" customFormat="1" ht="14.25" x14ac:dyDescent="0.25">
      <c r="A55" s="501" t="s">
        <v>85</v>
      </c>
      <c r="B55" s="500">
        <f>+'EJE PRESUPUESTAL '!B60</f>
        <v>37578006</v>
      </c>
      <c r="C55" s="502"/>
      <c r="D55" s="325">
        <v>5100000</v>
      </c>
      <c r="E55" s="503"/>
      <c r="F55" s="506">
        <f t="shared" si="3"/>
        <v>-32478006</v>
      </c>
      <c r="G55" s="503">
        <f t="shared" si="4"/>
        <v>425000</v>
      </c>
      <c r="H55" s="503">
        <f t="shared" si="5"/>
        <v>2550000</v>
      </c>
      <c r="I55" s="503"/>
      <c r="J55" s="503"/>
      <c r="K55" s="504"/>
    </row>
    <row r="56" spans="1:12" ht="14.25" x14ac:dyDescent="0.25">
      <c r="A56" s="368" t="s">
        <v>86</v>
      </c>
      <c r="B56" s="393">
        <f>+'EJE PRESUPUESTAL '!B61</f>
        <v>14663714</v>
      </c>
      <c r="C56" s="489"/>
      <c r="D56" s="325">
        <v>17220000</v>
      </c>
      <c r="F56" s="393">
        <f t="shared" si="3"/>
        <v>2556286</v>
      </c>
      <c r="G56" s="389">
        <f t="shared" si="4"/>
        <v>1435000</v>
      </c>
      <c r="H56" s="389">
        <f t="shared" si="5"/>
        <v>8610000</v>
      </c>
      <c r="K56" s="400"/>
      <c r="L56" s="369"/>
    </row>
    <row r="57" spans="1:12" ht="14.25" x14ac:dyDescent="0.25">
      <c r="A57" s="368" t="s">
        <v>87</v>
      </c>
      <c r="B57" s="393">
        <f>+'EJE PRESUPUESTAL '!B62</f>
        <v>40890907</v>
      </c>
      <c r="C57" s="489"/>
      <c r="D57" s="325">
        <v>21950000</v>
      </c>
      <c r="F57" s="393">
        <f t="shared" si="3"/>
        <v>-18940907</v>
      </c>
      <c r="G57" s="389">
        <f t="shared" si="4"/>
        <v>1829166.6666666667</v>
      </c>
      <c r="H57" s="389">
        <f t="shared" si="5"/>
        <v>10975000</v>
      </c>
      <c r="K57" s="400"/>
      <c r="L57" s="369"/>
    </row>
    <row r="58" spans="1:12" ht="14.25" x14ac:dyDescent="0.25">
      <c r="A58" s="368" t="s">
        <v>235</v>
      </c>
      <c r="B58" s="393">
        <f>+'EJE PRESUPUESTAL '!B63</f>
        <v>18716646</v>
      </c>
      <c r="C58" s="489"/>
      <c r="D58" s="325">
        <v>20000000</v>
      </c>
      <c r="F58" s="393">
        <f t="shared" si="3"/>
        <v>1283354</v>
      </c>
      <c r="G58" s="389">
        <f t="shared" si="4"/>
        <v>1666666.6666666667</v>
      </c>
      <c r="H58" s="389">
        <f t="shared" si="5"/>
        <v>10000000</v>
      </c>
      <c r="K58" s="400"/>
      <c r="L58" s="369"/>
    </row>
    <row r="59" spans="1:12" ht="14.25" x14ac:dyDescent="0.25">
      <c r="A59" s="368" t="s">
        <v>88</v>
      </c>
      <c r="B59" s="393">
        <f>+'EJE PRESUPUESTAL '!B64</f>
        <v>3102099</v>
      </c>
      <c r="C59" s="489"/>
      <c r="D59" s="325">
        <v>2064000</v>
      </c>
      <c r="F59" s="393">
        <f t="shared" si="3"/>
        <v>-1038099</v>
      </c>
      <c r="G59" s="389">
        <f t="shared" si="4"/>
        <v>172000</v>
      </c>
      <c r="H59" s="389">
        <f t="shared" si="5"/>
        <v>1032000</v>
      </c>
      <c r="K59" s="400"/>
      <c r="L59" s="369"/>
    </row>
    <row r="60" spans="1:12" s="505" customFormat="1" ht="14.25" x14ac:dyDescent="0.25">
      <c r="A60" s="501" t="s">
        <v>90</v>
      </c>
      <c r="B60" s="500">
        <f>+'EJE PRESUPUESTAL '!B65</f>
        <v>11207846</v>
      </c>
      <c r="C60" s="502"/>
      <c r="D60" s="325">
        <v>9900000</v>
      </c>
      <c r="E60" s="503"/>
      <c r="F60" s="506">
        <f t="shared" si="3"/>
        <v>-1307846</v>
      </c>
      <c r="G60" s="503">
        <f t="shared" si="4"/>
        <v>825000</v>
      </c>
      <c r="H60" s="503">
        <f t="shared" si="5"/>
        <v>4950000</v>
      </c>
      <c r="I60" s="503"/>
      <c r="J60" s="503"/>
      <c r="K60" s="504"/>
    </row>
    <row r="61" spans="1:12" ht="14.25" x14ac:dyDescent="0.25">
      <c r="A61" s="368" t="s">
        <v>91</v>
      </c>
      <c r="B61" s="393" t="e">
        <f>+'EJE PRESUPUESTAL '!#REF!</f>
        <v>#REF!</v>
      </c>
      <c r="C61" s="489"/>
      <c r="D61" s="325">
        <v>16140000</v>
      </c>
      <c r="F61" s="393" t="e">
        <f t="shared" si="3"/>
        <v>#REF!</v>
      </c>
      <c r="G61" s="389">
        <f t="shared" si="4"/>
        <v>1345000</v>
      </c>
      <c r="H61" s="389">
        <f t="shared" si="5"/>
        <v>8070000</v>
      </c>
      <c r="K61" s="400"/>
      <c r="L61" s="369"/>
    </row>
    <row r="62" spans="1:12" ht="14.25" x14ac:dyDescent="0.25">
      <c r="A62" s="368" t="s">
        <v>438</v>
      </c>
      <c r="B62" s="393">
        <f>+'EJE PRESUPUESTAL '!B66</f>
        <v>0</v>
      </c>
      <c r="C62" s="489"/>
      <c r="D62" s="325">
        <v>3500000</v>
      </c>
      <c r="F62" s="393">
        <f t="shared" si="3"/>
        <v>3500000</v>
      </c>
      <c r="G62" s="389">
        <f t="shared" si="4"/>
        <v>291666.66666666669</v>
      </c>
      <c r="H62" s="389">
        <f t="shared" si="5"/>
        <v>1750000</v>
      </c>
      <c r="K62" s="400"/>
      <c r="L62" s="369"/>
    </row>
    <row r="63" spans="1:12" ht="14.25" x14ac:dyDescent="0.25">
      <c r="A63" s="368" t="s">
        <v>93</v>
      </c>
      <c r="B63" s="393">
        <f>+'EJE PRESUPUESTAL '!B67</f>
        <v>0</v>
      </c>
      <c r="C63" s="489"/>
      <c r="D63" s="325">
        <v>1400000</v>
      </c>
      <c r="F63" s="393">
        <f t="shared" si="3"/>
        <v>1400000</v>
      </c>
      <c r="G63" s="389">
        <f t="shared" si="4"/>
        <v>116666.66666666667</v>
      </c>
      <c r="H63" s="389">
        <f t="shared" si="5"/>
        <v>700000</v>
      </c>
      <c r="K63" s="400"/>
      <c r="L63" s="369"/>
    </row>
    <row r="64" spans="1:12" s="505" customFormat="1" ht="14.25" x14ac:dyDescent="0.25">
      <c r="A64" s="501" t="s">
        <v>236</v>
      </c>
      <c r="B64" s="500">
        <f>+'EJE PRESUPUESTAL '!B71</f>
        <v>471519112</v>
      </c>
      <c r="C64" s="502"/>
      <c r="D64" s="477">
        <v>21866260.508610647</v>
      </c>
      <c r="E64" s="503"/>
      <c r="F64" s="500">
        <f t="shared" si="3"/>
        <v>-449652851.49138933</v>
      </c>
      <c r="G64" s="503">
        <f t="shared" si="4"/>
        <v>1822188.375717554</v>
      </c>
      <c r="H64" s="503">
        <f t="shared" si="5"/>
        <v>10933130.254305324</v>
      </c>
      <c r="I64" s="503"/>
      <c r="J64" s="503"/>
      <c r="K64" s="504"/>
    </row>
    <row r="65" spans="1:12" ht="14.25" x14ac:dyDescent="0.25">
      <c r="A65" s="369" t="s">
        <v>437</v>
      </c>
      <c r="B65" s="393" t="e">
        <f>+'EJE PRESUPUESTAL '!#REF!</f>
        <v>#REF!</v>
      </c>
      <c r="C65" s="489"/>
      <c r="D65" s="325">
        <v>13956000</v>
      </c>
      <c r="F65" s="393" t="e">
        <f t="shared" si="3"/>
        <v>#REF!</v>
      </c>
      <c r="G65" s="389">
        <f t="shared" si="4"/>
        <v>1163000</v>
      </c>
      <c r="H65" s="389">
        <f t="shared" si="5"/>
        <v>6978000</v>
      </c>
      <c r="K65" s="400"/>
      <c r="L65" s="369"/>
    </row>
    <row r="66" spans="1:12" ht="14.25" x14ac:dyDescent="0.25">
      <c r="A66" s="369" t="s">
        <v>390</v>
      </c>
      <c r="B66" s="393">
        <f>+'EJE PRESUPUESTAL '!B75</f>
        <v>49298484</v>
      </c>
      <c r="C66" s="489"/>
      <c r="D66" s="325">
        <f>26545440-7000000</f>
        <v>19545440</v>
      </c>
      <c r="F66" s="393">
        <f t="shared" si="3"/>
        <v>-29753044</v>
      </c>
      <c r="G66" s="389">
        <f t="shared" si="4"/>
        <v>1628786.6666666667</v>
      </c>
      <c r="H66" s="389">
        <f t="shared" si="5"/>
        <v>9772720</v>
      </c>
      <c r="K66" s="400"/>
      <c r="L66" s="369"/>
    </row>
    <row r="67" spans="1:12" ht="14.25" x14ac:dyDescent="0.25">
      <c r="A67" s="368" t="s">
        <v>238</v>
      </c>
      <c r="B67" s="393">
        <f>+'EJE PRESUPUESTAL '!B76</f>
        <v>23288200</v>
      </c>
      <c r="C67" s="489"/>
      <c r="D67" s="325">
        <f>41251554-436385-10000000</f>
        <v>30815169</v>
      </c>
      <c r="F67" s="393">
        <f t="shared" si="3"/>
        <v>7526969</v>
      </c>
      <c r="G67" s="389">
        <f t="shared" si="4"/>
        <v>2567930.75</v>
      </c>
      <c r="H67" s="389">
        <f t="shared" si="5"/>
        <v>15407584.5</v>
      </c>
      <c r="J67" s="389">
        <f>D67/12</f>
        <v>2567930.75</v>
      </c>
      <c r="K67" s="400">
        <f>J67*10</f>
        <v>25679307.5</v>
      </c>
      <c r="L67" s="369"/>
    </row>
    <row r="68" spans="1:12" ht="14.25" x14ac:dyDescent="0.25">
      <c r="A68" s="368" t="s">
        <v>237</v>
      </c>
      <c r="B68" s="393">
        <f>+'EJE PRESUPUESTAL '!B77</f>
        <v>9037200</v>
      </c>
      <c r="C68" s="489"/>
      <c r="D68" s="325">
        <v>8526000</v>
      </c>
      <c r="F68" s="393">
        <f t="shared" si="3"/>
        <v>-511200</v>
      </c>
      <c r="G68" s="389">
        <f t="shared" si="4"/>
        <v>710500</v>
      </c>
      <c r="H68" s="389">
        <f t="shared" si="5"/>
        <v>4263000</v>
      </c>
      <c r="J68" s="389">
        <f>D68/12</f>
        <v>710500</v>
      </c>
      <c r="K68" s="400">
        <f>J68*10</f>
        <v>7105000</v>
      </c>
      <c r="L68" s="369"/>
    </row>
    <row r="69" spans="1:12" ht="14.25" x14ac:dyDescent="0.25">
      <c r="A69" s="368" t="s">
        <v>687</v>
      </c>
      <c r="B69" s="393" t="e">
        <f>+'EJE PRESUPUESTAL '!#REF!</f>
        <v>#REF!</v>
      </c>
      <c r="C69" s="489"/>
      <c r="D69" s="325">
        <v>3000000</v>
      </c>
      <c r="F69" s="393" t="e">
        <f t="shared" si="3"/>
        <v>#REF!</v>
      </c>
      <c r="G69" s="389">
        <f t="shared" si="4"/>
        <v>250000</v>
      </c>
      <c r="H69" s="389">
        <f t="shared" si="5"/>
        <v>1500000</v>
      </c>
      <c r="K69" s="400"/>
      <c r="L69" s="369"/>
    </row>
    <row r="70" spans="1:12" ht="14.25" x14ac:dyDescent="0.25">
      <c r="A70" s="369" t="s">
        <v>239</v>
      </c>
      <c r="B70" s="393">
        <f>+'EJE PRESUPUESTAL '!B78</f>
        <v>17483585</v>
      </c>
      <c r="C70" s="489"/>
      <c r="D70" s="325">
        <f>59488544+10000000+7000000</f>
        <v>76488544</v>
      </c>
      <c r="F70" s="393">
        <f t="shared" si="3"/>
        <v>59004959</v>
      </c>
      <c r="G70" s="389">
        <f t="shared" si="4"/>
        <v>6374045.333333333</v>
      </c>
      <c r="H70" s="389">
        <f t="shared" si="5"/>
        <v>38244272</v>
      </c>
      <c r="J70" s="389">
        <f>D70/12</f>
        <v>6374045.333333333</v>
      </c>
      <c r="K70" s="400">
        <f>J70*10</f>
        <v>63740453.333333328</v>
      </c>
      <c r="L70" s="369"/>
    </row>
    <row r="71" spans="1:12" ht="14.25" x14ac:dyDescent="0.25">
      <c r="A71" s="369" t="s">
        <v>240</v>
      </c>
      <c r="B71" s="393">
        <f>+'EJE PRESUPUESTAL '!B79</f>
        <v>0</v>
      </c>
      <c r="C71" s="489"/>
      <c r="D71" s="325">
        <v>4800000</v>
      </c>
      <c r="F71" s="393">
        <f t="shared" si="3"/>
        <v>4800000</v>
      </c>
      <c r="G71" s="389">
        <f t="shared" si="4"/>
        <v>400000</v>
      </c>
      <c r="H71" s="389">
        <f t="shared" si="5"/>
        <v>2400000</v>
      </c>
      <c r="K71" s="400"/>
      <c r="L71" s="369"/>
    </row>
    <row r="72" spans="1:12" ht="14.25" x14ac:dyDescent="0.25">
      <c r="A72" s="369" t="s">
        <v>241</v>
      </c>
      <c r="B72" s="393">
        <f>+'EJE PRESUPUESTAL '!B80</f>
        <v>48707093.329999998</v>
      </c>
      <c r="C72" s="489"/>
      <c r="D72" s="325">
        <v>19161600</v>
      </c>
      <c r="F72" s="393">
        <f t="shared" si="3"/>
        <v>-29545493.329999998</v>
      </c>
      <c r="G72" s="389">
        <f t="shared" si="4"/>
        <v>1596800</v>
      </c>
      <c r="H72" s="389">
        <f t="shared" si="5"/>
        <v>9580800</v>
      </c>
      <c r="K72" s="400"/>
      <c r="L72" s="369"/>
    </row>
    <row r="73" spans="1:12" s="505" customFormat="1" ht="14.25" x14ac:dyDescent="0.25">
      <c r="A73" s="505" t="s">
        <v>242</v>
      </c>
      <c r="B73" s="500">
        <f>+'EJE PRESUPUESTAL '!B81</f>
        <v>14688353</v>
      </c>
      <c r="C73" s="502"/>
      <c r="D73" s="325">
        <v>5500000</v>
      </c>
      <c r="E73" s="503"/>
      <c r="F73" s="500">
        <f t="shared" si="3"/>
        <v>-9188353</v>
      </c>
      <c r="G73" s="503">
        <f t="shared" si="4"/>
        <v>458333.33333333331</v>
      </c>
      <c r="H73" s="503">
        <f t="shared" si="5"/>
        <v>2750000</v>
      </c>
      <c r="I73" s="503"/>
      <c r="J73" s="503"/>
      <c r="K73" s="504"/>
    </row>
    <row r="74" spans="1:12" ht="14.25" x14ac:dyDescent="0.25">
      <c r="A74" s="369" t="s">
        <v>243</v>
      </c>
      <c r="B74" s="393">
        <f>+'EJE PRESUPUESTAL '!B82</f>
        <v>55123572.399999999</v>
      </c>
      <c r="C74" s="489"/>
      <c r="D74" s="477">
        <v>21808390.177124199</v>
      </c>
      <c r="F74" s="393">
        <f t="shared" si="3"/>
        <v>-33315182.2228758</v>
      </c>
      <c r="G74" s="389">
        <f t="shared" si="4"/>
        <v>1817365.8480936831</v>
      </c>
      <c r="H74" s="389">
        <f t="shared" si="5"/>
        <v>10904195.088562099</v>
      </c>
      <c r="K74" s="400"/>
      <c r="L74" s="369"/>
    </row>
    <row r="75" spans="1:12" ht="14.25" x14ac:dyDescent="0.25">
      <c r="A75" s="369" t="s">
        <v>244</v>
      </c>
      <c r="B75" s="393">
        <f>+'EJE PRESUPUESTAL '!B83</f>
        <v>267956998</v>
      </c>
      <c r="C75" s="489"/>
      <c r="D75" s="477">
        <v>129262500</v>
      </c>
      <c r="F75" s="393">
        <f t="shared" si="3"/>
        <v>-138694498</v>
      </c>
      <c r="G75" s="389">
        <f t="shared" si="4"/>
        <v>10771875</v>
      </c>
      <c r="H75" s="389">
        <f t="shared" si="5"/>
        <v>64631250</v>
      </c>
      <c r="K75" s="400"/>
      <c r="L75" s="369"/>
    </row>
    <row r="76" spans="1:12" ht="14.25" x14ac:dyDescent="0.25">
      <c r="A76" s="369" t="s">
        <v>245</v>
      </c>
      <c r="B76" s="393">
        <f>+'EJE PRESUPUESTAL '!B85</f>
        <v>2150000</v>
      </c>
      <c r="C76" s="489"/>
      <c r="D76" s="325">
        <v>9312000</v>
      </c>
      <c r="F76" s="393">
        <f t="shared" si="3"/>
        <v>7162000</v>
      </c>
      <c r="G76" s="389">
        <f t="shared" si="4"/>
        <v>776000</v>
      </c>
      <c r="H76" s="389">
        <f t="shared" si="5"/>
        <v>4656000</v>
      </c>
      <c r="K76" s="400"/>
      <c r="L76" s="369"/>
    </row>
    <row r="77" spans="1:12" ht="14.25" x14ac:dyDescent="0.25">
      <c r="A77" s="369" t="s">
        <v>642</v>
      </c>
      <c r="B77" s="393">
        <f>+'EJE PRESUPUESTAL '!B86</f>
        <v>0</v>
      </c>
      <c r="C77" s="489"/>
      <c r="D77" s="325">
        <v>3000000</v>
      </c>
      <c r="F77" s="393">
        <f t="shared" si="3"/>
        <v>3000000</v>
      </c>
      <c r="G77" s="389">
        <f t="shared" si="4"/>
        <v>250000</v>
      </c>
      <c r="H77" s="389">
        <f t="shared" si="5"/>
        <v>1500000</v>
      </c>
      <c r="K77" s="400"/>
      <c r="L77" s="369"/>
    </row>
    <row r="78" spans="1:12" ht="14.25" x14ac:dyDescent="0.25">
      <c r="A78" s="480" t="s">
        <v>679</v>
      </c>
      <c r="B78" s="393"/>
      <c r="C78" s="489"/>
      <c r="D78" s="325">
        <v>5700000</v>
      </c>
      <c r="F78" s="393"/>
      <c r="K78" s="400"/>
      <c r="L78" s="369"/>
    </row>
    <row r="79" spans="1:12" ht="14.25" x14ac:dyDescent="0.25">
      <c r="A79" s="508" t="str">
        <f>+'PYGCOM-CON AÑO ANTERIOR '!A89</f>
        <v>IMPLEMENTACION DE NIIF</v>
      </c>
      <c r="B79" s="510" t="e">
        <f>+'PYGCOM-CON AÑO ANTERIOR '!C89</f>
        <v>#REF!</v>
      </c>
      <c r="C79" s="509"/>
      <c r="D79" s="325">
        <v>5600000</v>
      </c>
      <c r="E79" s="503"/>
      <c r="F79" s="500">
        <v>0</v>
      </c>
      <c r="I79" s="389" t="s">
        <v>692</v>
      </c>
      <c r="K79" s="400"/>
      <c r="L79" s="369"/>
    </row>
    <row r="80" spans="1:12" ht="14.25" x14ac:dyDescent="0.25">
      <c r="A80" s="394" t="s">
        <v>246</v>
      </c>
      <c r="B80" s="395" t="e">
        <f>SUM(B40:B79)</f>
        <v>#REF!</v>
      </c>
      <c r="C80" s="399"/>
      <c r="D80" s="395">
        <f>SUM(D40:D79)</f>
        <v>645073903.68573487</v>
      </c>
      <c r="F80" s="395" t="e">
        <f>SUM(F40:H79)</f>
        <v>#REF!</v>
      </c>
      <c r="K80" s="400"/>
      <c r="L80" s="369"/>
    </row>
    <row r="81" spans="1:12" ht="14.25" x14ac:dyDescent="0.25">
      <c r="A81" s="394" t="s">
        <v>247</v>
      </c>
      <c r="B81" s="395" t="e">
        <f>+B15+B35+B80</f>
        <v>#REF!</v>
      </c>
      <c r="C81" s="491"/>
      <c r="D81" s="395">
        <f>+D15+D35+D80</f>
        <v>1947674182.3923655</v>
      </c>
      <c r="F81" s="395" t="e">
        <f>+F15+F35+F80</f>
        <v>#REF!</v>
      </c>
      <c r="K81" s="400"/>
      <c r="L81" s="369"/>
    </row>
    <row r="82" spans="1:12" ht="14.25" x14ac:dyDescent="0.25">
      <c r="B82" s="398"/>
      <c r="C82" s="399"/>
      <c r="D82" s="398"/>
      <c r="F82" s="398"/>
      <c r="K82" s="400"/>
      <c r="L82" s="369"/>
    </row>
    <row r="83" spans="1:12" ht="14.25" x14ac:dyDescent="0.25">
      <c r="A83" s="394" t="s">
        <v>398</v>
      </c>
      <c r="B83" s="395" t="e">
        <f>+B7-B81</f>
        <v>#REF!</v>
      </c>
      <c r="C83" s="399"/>
      <c r="D83" s="395">
        <f>+D7-D81</f>
        <v>402643886.87117052</v>
      </c>
      <c r="F83" s="395" t="e">
        <f>+F7-F81</f>
        <v>#REF!</v>
      </c>
      <c r="K83" s="400"/>
      <c r="L83" s="369"/>
    </row>
    <row r="84" spans="1:12" ht="14.25" x14ac:dyDescent="0.25">
      <c r="A84" s="490"/>
      <c r="B84" s="399"/>
      <c r="C84" s="399"/>
      <c r="D84" s="399"/>
      <c r="F84" s="399"/>
      <c r="K84" s="400"/>
      <c r="L84" s="369"/>
    </row>
    <row r="85" spans="1:12" ht="15.75" customHeight="1" x14ac:dyDescent="0.25">
      <c r="A85" s="490"/>
      <c r="B85" s="399"/>
      <c r="C85" s="399"/>
      <c r="D85" s="399">
        <v>0</v>
      </c>
      <c r="F85" s="399"/>
      <c r="K85" s="400"/>
      <c r="L85" s="369"/>
    </row>
    <row r="86" spans="1:12" ht="14.25" x14ac:dyDescent="0.25">
      <c r="A86" s="1253" t="s">
        <v>248</v>
      </c>
      <c r="B86" s="399"/>
      <c r="C86" s="488"/>
      <c r="D86" s="399"/>
      <c r="F86" s="399"/>
      <c r="K86" s="400"/>
      <c r="L86" s="369"/>
    </row>
    <row r="87" spans="1:12" ht="14.25" x14ac:dyDescent="0.25">
      <c r="A87" s="1253"/>
      <c r="B87" s="391" t="s">
        <v>676</v>
      </c>
      <c r="C87" s="489"/>
      <c r="D87" s="391" t="s">
        <v>677</v>
      </c>
      <c r="F87" s="391" t="s">
        <v>678</v>
      </c>
      <c r="K87" s="400"/>
      <c r="L87" s="369"/>
    </row>
    <row r="88" spans="1:12" ht="14.25" x14ac:dyDescent="0.25">
      <c r="A88" s="369" t="s">
        <v>249</v>
      </c>
      <c r="B88" s="393">
        <f>+'EJE PRESUPUESTAL '!B97</f>
        <v>325865654.75999999</v>
      </c>
      <c r="C88" s="489"/>
      <c r="D88" s="318">
        <v>30050000</v>
      </c>
      <c r="F88" s="393">
        <f>+D88-B88</f>
        <v>-295815654.75999999</v>
      </c>
      <c r="K88" s="400"/>
      <c r="L88" s="369"/>
    </row>
    <row r="89" spans="1:12" ht="14.25" x14ac:dyDescent="0.25">
      <c r="A89" s="369" t="s">
        <v>683</v>
      </c>
      <c r="B89" s="393" t="e">
        <f>+'EJE PRESUPUESTAL '!#REF!</f>
        <v>#REF!</v>
      </c>
      <c r="C89" s="489"/>
      <c r="D89" s="393"/>
      <c r="F89" s="393"/>
      <c r="K89" s="400"/>
      <c r="L89" s="369"/>
    </row>
    <row r="90" spans="1:12" ht="14.25" x14ac:dyDescent="0.25">
      <c r="A90" s="369" t="s">
        <v>250</v>
      </c>
      <c r="B90" s="393"/>
      <c r="C90" s="399"/>
      <c r="D90" s="393"/>
      <c r="F90" s="393">
        <f>+D90-B90</f>
        <v>0</v>
      </c>
      <c r="K90" s="400"/>
      <c r="L90" s="369"/>
    </row>
    <row r="91" spans="1:12" ht="14.25" x14ac:dyDescent="0.25">
      <c r="A91" s="394" t="s">
        <v>251</v>
      </c>
      <c r="B91" s="395" t="e">
        <f>SUM(B88:B90)</f>
        <v>#REF!</v>
      </c>
      <c r="C91" s="488"/>
      <c r="D91" s="395">
        <f>SUM(D88:D90)</f>
        <v>30050000</v>
      </c>
      <c r="F91" s="395">
        <f>SUM(F88:F90)</f>
        <v>-295815654.75999999</v>
      </c>
      <c r="K91" s="400"/>
      <c r="L91" s="369"/>
    </row>
    <row r="92" spans="1:12" ht="14.25" x14ac:dyDescent="0.25">
      <c r="A92" s="492"/>
      <c r="B92" s="488"/>
      <c r="C92" s="495"/>
      <c r="D92" s="488"/>
      <c r="F92" s="488"/>
      <c r="K92" s="400"/>
      <c r="L92" s="369"/>
    </row>
    <row r="93" spans="1:12" ht="14.25" x14ac:dyDescent="0.25">
      <c r="A93" s="396"/>
      <c r="B93" s="495"/>
      <c r="C93" s="399"/>
      <c r="D93" s="495"/>
      <c r="F93" s="495"/>
      <c r="K93" s="400"/>
      <c r="L93" s="369"/>
    </row>
    <row r="94" spans="1:12" ht="14.25" x14ac:dyDescent="0.25">
      <c r="A94" s="394" t="s">
        <v>399</v>
      </c>
      <c r="B94" s="395" t="e">
        <f>+B83+B91</f>
        <v>#REF!</v>
      </c>
      <c r="D94" s="395">
        <f>+D83+D91</f>
        <v>432693886.87117052</v>
      </c>
      <c r="F94" s="395" t="e">
        <f>+F83+F91</f>
        <v>#REF!</v>
      </c>
      <c r="K94" s="400"/>
      <c r="L94" s="369"/>
    </row>
    <row r="95" spans="1:12" ht="14.25" x14ac:dyDescent="0.25">
      <c r="A95" s="396"/>
      <c r="D95" s="389">
        <f>+D94-'PRESUPUESTO 2014'!C97</f>
        <v>6273069.0029644966</v>
      </c>
      <c r="K95" s="400"/>
      <c r="L95" s="369"/>
    </row>
    <row r="96" spans="1:12" ht="20.100000000000001" customHeight="1" x14ac:dyDescent="0.25">
      <c r="A96" s="396"/>
      <c r="K96" s="400"/>
      <c r="L96" s="369"/>
    </row>
    <row r="97" spans="1:12" ht="20.100000000000001" customHeight="1" x14ac:dyDescent="0.25">
      <c r="A97" s="396"/>
      <c r="K97" s="400"/>
      <c r="L97" s="369"/>
    </row>
    <row r="98" spans="1:12" ht="20.100000000000001" customHeight="1" x14ac:dyDescent="0.25">
      <c r="A98" s="396"/>
      <c r="K98" s="400"/>
      <c r="L98" s="369"/>
    </row>
    <row r="99" spans="1:12" ht="20.100000000000001" customHeight="1" x14ac:dyDescent="0.25">
      <c r="A99" s="396"/>
      <c r="K99" s="400"/>
      <c r="L99" s="369"/>
    </row>
    <row r="100" spans="1:12" ht="20.100000000000001" customHeight="1" x14ac:dyDescent="0.25">
      <c r="A100" s="396"/>
      <c r="K100" s="400"/>
      <c r="L100" s="369"/>
    </row>
    <row r="101" spans="1:12" ht="20.100000000000001" customHeight="1" x14ac:dyDescent="0.25">
      <c r="A101" s="396"/>
      <c r="K101" s="400"/>
      <c r="L101" s="369"/>
    </row>
    <row r="102" spans="1:12" ht="20.100000000000001" customHeight="1" x14ac:dyDescent="0.25">
      <c r="A102" s="396"/>
      <c r="K102" s="400"/>
      <c r="L102" s="369"/>
    </row>
    <row r="103" spans="1:12" ht="20.100000000000001" customHeight="1" x14ac:dyDescent="0.25">
      <c r="A103" s="396"/>
      <c r="K103" s="400"/>
      <c r="L103" s="369"/>
    </row>
    <row r="104" spans="1:12" ht="20.100000000000001" customHeight="1" x14ac:dyDescent="0.25">
      <c r="A104" s="396"/>
      <c r="K104" s="400"/>
      <c r="L104" s="369"/>
    </row>
    <row r="105" spans="1:12" ht="20.100000000000001" customHeight="1" x14ac:dyDescent="0.25">
      <c r="A105" s="396"/>
      <c r="K105" s="400"/>
      <c r="L105" s="369"/>
    </row>
    <row r="106" spans="1:12" ht="20.100000000000001" customHeight="1" x14ac:dyDescent="0.25">
      <c r="A106" s="396"/>
      <c r="K106" s="400"/>
      <c r="L106" s="369"/>
    </row>
    <row r="107" spans="1:12" ht="20.100000000000001" customHeight="1" x14ac:dyDescent="0.25">
      <c r="A107" s="396"/>
      <c r="K107" s="400"/>
      <c r="L107" s="369"/>
    </row>
    <row r="108" spans="1:12" ht="20.100000000000001" customHeight="1" x14ac:dyDescent="0.25">
      <c r="A108" s="396"/>
      <c r="K108" s="400"/>
      <c r="L108" s="369"/>
    </row>
    <row r="109" spans="1:12" ht="20.100000000000001" customHeight="1" x14ac:dyDescent="0.25">
      <c r="A109" s="396"/>
      <c r="K109" s="400"/>
      <c r="L109" s="369"/>
    </row>
    <row r="110" spans="1:12" ht="20.100000000000001" customHeight="1" x14ac:dyDescent="0.25">
      <c r="A110" s="396"/>
      <c r="K110" s="400"/>
      <c r="L110" s="369"/>
    </row>
    <row r="111" spans="1:12" ht="20.100000000000001" customHeight="1" x14ac:dyDescent="0.25">
      <c r="A111" s="396"/>
      <c r="K111" s="400"/>
      <c r="L111" s="369"/>
    </row>
    <row r="112" spans="1:12" ht="20.100000000000001" customHeight="1" x14ac:dyDescent="0.25">
      <c r="A112" s="396"/>
      <c r="K112" s="400"/>
      <c r="L112" s="369"/>
    </row>
    <row r="113" spans="1:12" ht="20.100000000000001" customHeight="1" x14ac:dyDescent="0.25">
      <c r="A113" s="396"/>
      <c r="K113" s="400"/>
      <c r="L113" s="369"/>
    </row>
    <row r="114" spans="1:12" ht="20.100000000000001" customHeight="1" x14ac:dyDescent="0.25">
      <c r="A114" s="396"/>
      <c r="K114" s="400"/>
      <c r="L114" s="369"/>
    </row>
    <row r="115" spans="1:12" ht="20.100000000000001" customHeight="1" x14ac:dyDescent="0.25">
      <c r="A115" s="396"/>
      <c r="K115" s="400"/>
      <c r="L115" s="369"/>
    </row>
    <row r="116" spans="1:12" ht="20.100000000000001" customHeight="1" x14ac:dyDescent="0.25">
      <c r="A116" s="396"/>
      <c r="K116" s="400"/>
      <c r="L116" s="369"/>
    </row>
    <row r="117" spans="1:12" ht="20.100000000000001" customHeight="1" x14ac:dyDescent="0.25">
      <c r="A117" s="396"/>
      <c r="K117" s="400"/>
      <c r="L117" s="369"/>
    </row>
    <row r="118" spans="1:12" ht="20.100000000000001" customHeight="1" x14ac:dyDescent="0.25">
      <c r="A118" s="396"/>
      <c r="K118" s="400"/>
      <c r="L118" s="369"/>
    </row>
    <row r="119" spans="1:12" ht="20.100000000000001" customHeight="1" x14ac:dyDescent="0.25">
      <c r="A119" s="396"/>
      <c r="K119" s="400"/>
      <c r="L119" s="369"/>
    </row>
    <row r="120" spans="1:12" ht="20.100000000000001" customHeight="1" x14ac:dyDescent="0.25">
      <c r="A120" s="396"/>
      <c r="K120" s="400"/>
      <c r="L120" s="369"/>
    </row>
    <row r="121" spans="1:12" ht="20.100000000000001" customHeight="1" x14ac:dyDescent="0.25">
      <c r="A121" s="396"/>
      <c r="K121" s="400"/>
      <c r="L121" s="369"/>
    </row>
    <row r="122" spans="1:12" ht="20.100000000000001" customHeight="1" x14ac:dyDescent="0.25">
      <c r="A122" s="396"/>
      <c r="K122" s="400"/>
      <c r="L122" s="369"/>
    </row>
    <row r="123" spans="1:12" ht="20.100000000000001" customHeight="1" x14ac:dyDescent="0.25">
      <c r="A123" s="396"/>
      <c r="K123" s="400"/>
      <c r="L123" s="369"/>
    </row>
    <row r="124" spans="1:12" ht="20.100000000000001" customHeight="1" x14ac:dyDescent="0.25">
      <c r="A124" s="396"/>
      <c r="K124" s="400"/>
      <c r="L124" s="369"/>
    </row>
    <row r="125" spans="1:12" ht="20.100000000000001" customHeight="1" x14ac:dyDescent="0.25">
      <c r="A125" s="396"/>
      <c r="B125" s="415"/>
      <c r="D125" s="392"/>
      <c r="F125" s="415"/>
      <c r="K125" s="400"/>
      <c r="L125" s="369"/>
    </row>
    <row r="126" spans="1:12" ht="20.100000000000001" customHeight="1" x14ac:dyDescent="0.25">
      <c r="A126" s="396"/>
      <c r="B126" s="382"/>
      <c r="D126" s="369"/>
      <c r="F126" s="382"/>
      <c r="K126" s="400"/>
      <c r="L126" s="369"/>
    </row>
    <row r="127" spans="1:12" ht="20.100000000000001" customHeight="1" x14ac:dyDescent="0.25">
      <c r="A127" s="396"/>
      <c r="B127" s="382"/>
      <c r="D127" s="369"/>
      <c r="F127" s="382"/>
      <c r="K127" s="400"/>
      <c r="L127" s="369"/>
    </row>
    <row r="128" spans="1:12" ht="20.100000000000001" customHeight="1" x14ac:dyDescent="0.25">
      <c r="A128" s="396"/>
      <c r="B128" s="382"/>
      <c r="D128" s="369"/>
      <c r="F128" s="382"/>
      <c r="K128" s="400"/>
      <c r="L128" s="369"/>
    </row>
    <row r="129" spans="1:12" ht="20.100000000000001" customHeight="1" x14ac:dyDescent="0.25">
      <c r="A129" s="396"/>
      <c r="B129" s="382"/>
      <c r="D129" s="369"/>
      <c r="F129" s="382"/>
      <c r="K129" s="400"/>
      <c r="L129" s="369"/>
    </row>
    <row r="130" spans="1:12" ht="20.100000000000001" customHeight="1" x14ac:dyDescent="0.25">
      <c r="A130" s="396"/>
      <c r="B130" s="382"/>
      <c r="D130" s="369"/>
      <c r="F130" s="382"/>
      <c r="K130" s="400"/>
      <c r="L130" s="369"/>
    </row>
    <row r="131" spans="1:12" ht="20.100000000000001" customHeight="1" x14ac:dyDescent="0.25">
      <c r="A131" s="396"/>
      <c r="B131" s="382"/>
      <c r="D131" s="369"/>
      <c r="F131" s="382"/>
      <c r="K131" s="400"/>
      <c r="L131" s="369"/>
    </row>
    <row r="132" spans="1:12" ht="20.100000000000001" customHeight="1" x14ac:dyDescent="0.25">
      <c r="A132" s="396"/>
      <c r="B132" s="382"/>
      <c r="D132" s="369"/>
      <c r="F132" s="382"/>
      <c r="K132" s="400"/>
      <c r="L132" s="369"/>
    </row>
    <row r="133" spans="1:12" ht="20.100000000000001" customHeight="1" x14ac:dyDescent="0.25">
      <c r="A133" s="396"/>
      <c r="B133" s="382"/>
      <c r="D133" s="369"/>
      <c r="F133" s="382"/>
      <c r="K133" s="400"/>
      <c r="L133" s="369"/>
    </row>
    <row r="134" spans="1:12" ht="20.100000000000001" customHeight="1" x14ac:dyDescent="0.25">
      <c r="A134" s="396"/>
      <c r="B134" s="382"/>
      <c r="D134" s="369"/>
      <c r="F134" s="382"/>
      <c r="K134" s="400"/>
      <c r="L134" s="369"/>
    </row>
    <row r="135" spans="1:12" ht="20.100000000000001" customHeight="1" x14ac:dyDescent="0.25">
      <c r="A135" s="396"/>
      <c r="B135" s="382"/>
      <c r="D135" s="369"/>
      <c r="F135" s="382"/>
      <c r="K135" s="400"/>
      <c r="L135" s="369"/>
    </row>
    <row r="136" spans="1:12" ht="20.100000000000001" customHeight="1" x14ac:dyDescent="0.25">
      <c r="A136" s="396"/>
      <c r="B136" s="382"/>
      <c r="D136" s="369"/>
      <c r="F136" s="382"/>
      <c r="K136" s="400"/>
      <c r="L136" s="369"/>
    </row>
    <row r="137" spans="1:12" ht="20.100000000000001" customHeight="1" x14ac:dyDescent="0.25">
      <c r="A137" s="396"/>
      <c r="B137" s="382"/>
      <c r="D137" s="369"/>
      <c r="F137" s="382"/>
      <c r="K137" s="400"/>
      <c r="L137" s="369"/>
    </row>
    <row r="138" spans="1:12" ht="20.100000000000001" customHeight="1" x14ac:dyDescent="0.25">
      <c r="A138" s="396"/>
      <c r="B138" s="382"/>
      <c r="D138" s="369"/>
      <c r="F138" s="382"/>
      <c r="K138" s="400"/>
      <c r="L138" s="369"/>
    </row>
    <row r="139" spans="1:12" ht="20.100000000000001" customHeight="1" x14ac:dyDescent="0.25">
      <c r="A139" s="396"/>
      <c r="B139" s="382"/>
      <c r="D139" s="369"/>
      <c r="F139" s="382"/>
      <c r="K139" s="400"/>
      <c r="L139" s="369"/>
    </row>
    <row r="140" spans="1:12" ht="20.100000000000001" customHeight="1" x14ac:dyDescent="0.25">
      <c r="A140" s="396"/>
      <c r="B140" s="382"/>
      <c r="D140" s="369"/>
      <c r="F140" s="382"/>
      <c r="K140" s="400"/>
      <c r="L140" s="369"/>
    </row>
    <row r="141" spans="1:12" ht="20.100000000000001" customHeight="1" x14ac:dyDescent="0.25">
      <c r="A141" s="396"/>
      <c r="B141" s="382"/>
      <c r="D141" s="369"/>
      <c r="F141" s="382"/>
      <c r="K141" s="400"/>
      <c r="L141" s="369"/>
    </row>
    <row r="142" spans="1:12" ht="20.100000000000001" customHeight="1" x14ac:dyDescent="0.25">
      <c r="A142" s="396"/>
      <c r="B142" s="382"/>
      <c r="D142" s="369"/>
      <c r="F142" s="382"/>
      <c r="K142" s="400"/>
      <c r="L142" s="369"/>
    </row>
    <row r="143" spans="1:12" ht="20.100000000000001" customHeight="1" x14ac:dyDescent="0.25">
      <c r="A143" s="396"/>
      <c r="B143" s="382"/>
      <c r="D143" s="369"/>
      <c r="F143" s="382"/>
      <c r="K143" s="400"/>
      <c r="L143" s="369"/>
    </row>
    <row r="144" spans="1:12" ht="20.100000000000001" customHeight="1" x14ac:dyDescent="0.25">
      <c r="A144" s="396"/>
      <c r="B144" s="382"/>
      <c r="D144" s="369"/>
      <c r="F144" s="382"/>
      <c r="K144" s="400"/>
      <c r="L144" s="369"/>
    </row>
    <row r="145" spans="1:12" ht="20.100000000000001" customHeight="1" x14ac:dyDescent="0.25">
      <c r="A145" s="396"/>
      <c r="B145" s="382"/>
      <c r="D145" s="369"/>
      <c r="F145" s="382"/>
      <c r="K145" s="400"/>
      <c r="L145" s="369"/>
    </row>
    <row r="146" spans="1:12" ht="20.100000000000001" customHeight="1" x14ac:dyDescent="0.25">
      <c r="A146" s="396"/>
      <c r="B146" s="382"/>
      <c r="D146" s="369"/>
      <c r="F146" s="382"/>
      <c r="K146" s="400"/>
      <c r="L146" s="369"/>
    </row>
    <row r="147" spans="1:12" ht="20.100000000000001" customHeight="1" x14ac:dyDescent="0.25">
      <c r="A147" s="396"/>
      <c r="B147" s="382"/>
      <c r="D147" s="369"/>
      <c r="F147" s="382"/>
      <c r="K147" s="400"/>
      <c r="L147" s="369"/>
    </row>
    <row r="148" spans="1:12" ht="20.100000000000001" customHeight="1" x14ac:dyDescent="0.25">
      <c r="A148" s="396"/>
      <c r="B148" s="382"/>
      <c r="D148" s="369"/>
      <c r="F148" s="382"/>
      <c r="K148" s="400"/>
      <c r="L148" s="369"/>
    </row>
    <row r="149" spans="1:12" ht="20.100000000000001" customHeight="1" x14ac:dyDescent="0.25">
      <c r="A149" s="396"/>
      <c r="B149" s="382"/>
      <c r="D149" s="369"/>
      <c r="F149" s="382"/>
      <c r="K149" s="400"/>
      <c r="L149" s="369"/>
    </row>
    <row r="150" spans="1:12" ht="20.100000000000001" customHeight="1" x14ac:dyDescent="0.25">
      <c r="A150" s="396"/>
      <c r="B150" s="382"/>
      <c r="D150" s="369"/>
      <c r="F150" s="382"/>
      <c r="K150" s="400"/>
      <c r="L150" s="369"/>
    </row>
    <row r="151" spans="1:12" ht="20.100000000000001" customHeight="1" x14ac:dyDescent="0.25">
      <c r="A151" s="396"/>
      <c r="B151" s="382"/>
      <c r="D151" s="369"/>
      <c r="F151" s="382"/>
      <c r="K151" s="400"/>
      <c r="L151" s="369"/>
    </row>
    <row r="152" spans="1:12" ht="20.100000000000001" customHeight="1" x14ac:dyDescent="0.25">
      <c r="A152" s="396"/>
      <c r="B152" s="382"/>
      <c r="D152" s="369"/>
      <c r="F152" s="382"/>
      <c r="K152" s="400"/>
      <c r="L152" s="369"/>
    </row>
    <row r="153" spans="1:12" ht="20.100000000000001" customHeight="1" x14ac:dyDescent="0.25">
      <c r="A153" s="396"/>
      <c r="B153" s="382"/>
      <c r="D153" s="369"/>
      <c r="F153" s="382"/>
      <c r="K153" s="400"/>
      <c r="L153" s="369"/>
    </row>
    <row r="154" spans="1:12" ht="20.100000000000001" customHeight="1" x14ac:dyDescent="0.25">
      <c r="A154" s="396"/>
      <c r="B154" s="382"/>
      <c r="D154" s="369"/>
      <c r="F154" s="382"/>
      <c r="K154" s="400"/>
      <c r="L154" s="369"/>
    </row>
    <row r="155" spans="1:12" ht="20.100000000000001" customHeight="1" x14ac:dyDescent="0.25">
      <c r="A155" s="396"/>
      <c r="B155" s="382"/>
      <c r="D155" s="369"/>
      <c r="F155" s="382"/>
      <c r="K155" s="400"/>
      <c r="L155" s="369"/>
    </row>
    <row r="156" spans="1:12" ht="20.100000000000001" customHeight="1" x14ac:dyDescent="0.25">
      <c r="A156" s="396"/>
      <c r="B156" s="382"/>
      <c r="D156" s="369"/>
      <c r="F156" s="382"/>
      <c r="K156" s="400"/>
      <c r="L156" s="369"/>
    </row>
    <row r="157" spans="1:12" ht="20.100000000000001" customHeight="1" x14ac:dyDescent="0.25">
      <c r="A157" s="396"/>
      <c r="B157" s="382"/>
      <c r="D157" s="369"/>
      <c r="F157" s="382"/>
      <c r="K157" s="400"/>
      <c r="L157" s="369"/>
    </row>
    <row r="158" spans="1:12" ht="20.100000000000001" customHeight="1" x14ac:dyDescent="0.25">
      <c r="A158" s="396"/>
      <c r="B158" s="382"/>
      <c r="D158" s="369"/>
      <c r="F158" s="382"/>
      <c r="K158" s="400"/>
      <c r="L158" s="369"/>
    </row>
    <row r="159" spans="1:12" ht="20.100000000000001" customHeight="1" x14ac:dyDescent="0.25">
      <c r="A159" s="396"/>
      <c r="B159" s="382"/>
      <c r="D159" s="369"/>
      <c r="F159" s="382"/>
      <c r="K159" s="400"/>
      <c r="L159" s="369"/>
    </row>
    <row r="160" spans="1:12" ht="20.100000000000001" customHeight="1" x14ac:dyDescent="0.25">
      <c r="A160" s="396"/>
      <c r="B160" s="382"/>
      <c r="D160" s="369"/>
      <c r="F160" s="382"/>
      <c r="K160" s="400"/>
      <c r="L160" s="369"/>
    </row>
    <row r="161" spans="1:12" ht="20.100000000000001" customHeight="1" x14ac:dyDescent="0.25">
      <c r="A161" s="396"/>
      <c r="B161" s="382"/>
      <c r="D161" s="369"/>
      <c r="F161" s="382"/>
      <c r="K161" s="400"/>
      <c r="L161" s="369"/>
    </row>
    <row r="162" spans="1:12" ht="20.100000000000001" customHeight="1" x14ac:dyDescent="0.25">
      <c r="A162" s="396"/>
      <c r="B162" s="382"/>
      <c r="D162" s="369"/>
      <c r="F162" s="382"/>
      <c r="K162" s="400"/>
      <c r="L162" s="369"/>
    </row>
    <row r="163" spans="1:12" ht="20.100000000000001" customHeight="1" x14ac:dyDescent="0.25">
      <c r="A163" s="396"/>
      <c r="B163" s="382"/>
      <c r="D163" s="369"/>
      <c r="F163" s="382"/>
      <c r="K163" s="400"/>
      <c r="L163" s="369"/>
    </row>
    <row r="164" spans="1:12" ht="20.100000000000001" customHeight="1" x14ac:dyDescent="0.25">
      <c r="A164" s="396"/>
      <c r="B164" s="382"/>
      <c r="D164" s="369"/>
      <c r="F164" s="382"/>
      <c r="K164" s="400"/>
      <c r="L164" s="369"/>
    </row>
    <row r="165" spans="1:12" ht="20.100000000000001" customHeight="1" x14ac:dyDescent="0.25">
      <c r="A165" s="396"/>
      <c r="B165" s="382"/>
      <c r="D165" s="369"/>
      <c r="F165" s="382"/>
      <c r="K165" s="400"/>
      <c r="L165" s="369"/>
    </row>
    <row r="166" spans="1:12" ht="20.100000000000001" customHeight="1" x14ac:dyDescent="0.25">
      <c r="A166" s="396"/>
      <c r="B166" s="382"/>
      <c r="D166" s="369"/>
      <c r="F166" s="382"/>
      <c r="K166" s="400"/>
      <c r="L166" s="369"/>
    </row>
    <row r="167" spans="1:12" ht="20.100000000000001" customHeight="1" x14ac:dyDescent="0.25">
      <c r="A167" s="396"/>
      <c r="B167" s="382"/>
      <c r="D167" s="369"/>
      <c r="F167" s="382"/>
      <c r="K167" s="400"/>
      <c r="L167" s="369"/>
    </row>
    <row r="168" spans="1:12" ht="20.100000000000001" customHeight="1" x14ac:dyDescent="0.25">
      <c r="A168" s="396"/>
      <c r="B168" s="382"/>
      <c r="D168" s="369"/>
      <c r="F168" s="382"/>
      <c r="K168" s="400"/>
      <c r="L168" s="369"/>
    </row>
    <row r="169" spans="1:12" ht="20.100000000000001" customHeight="1" x14ac:dyDescent="0.25">
      <c r="A169" s="396"/>
      <c r="B169" s="382"/>
      <c r="D169" s="369"/>
      <c r="F169" s="382"/>
      <c r="K169" s="400"/>
      <c r="L169" s="369"/>
    </row>
    <row r="170" spans="1:12" ht="20.100000000000001" customHeight="1" x14ac:dyDescent="0.25">
      <c r="A170" s="396"/>
      <c r="B170" s="382"/>
      <c r="D170" s="369"/>
      <c r="F170" s="382"/>
      <c r="K170" s="400"/>
      <c r="L170" s="369"/>
    </row>
    <row r="171" spans="1:12" ht="20.100000000000001" customHeight="1" x14ac:dyDescent="0.25">
      <c r="A171" s="396"/>
      <c r="B171" s="382"/>
      <c r="D171" s="369"/>
      <c r="F171" s="382"/>
      <c r="K171" s="400"/>
      <c r="L171" s="369"/>
    </row>
    <row r="172" spans="1:12" ht="20.100000000000001" customHeight="1" x14ac:dyDescent="0.25">
      <c r="A172" s="396"/>
      <c r="B172" s="382"/>
      <c r="D172" s="369"/>
      <c r="F172" s="382"/>
      <c r="K172" s="400"/>
      <c r="L172" s="369"/>
    </row>
    <row r="173" spans="1:12" ht="20.100000000000001" customHeight="1" x14ac:dyDescent="0.25">
      <c r="A173" s="396"/>
      <c r="B173" s="382"/>
      <c r="D173" s="369"/>
      <c r="F173" s="382"/>
      <c r="K173" s="400"/>
      <c r="L173" s="369"/>
    </row>
    <row r="174" spans="1:12" ht="20.100000000000001" customHeight="1" x14ac:dyDescent="0.25">
      <c r="A174" s="396"/>
      <c r="B174" s="382"/>
      <c r="D174" s="369"/>
      <c r="F174" s="382"/>
      <c r="K174" s="400"/>
      <c r="L174" s="369"/>
    </row>
    <row r="175" spans="1:12" ht="20.100000000000001" customHeight="1" x14ac:dyDescent="0.25">
      <c r="A175" s="396"/>
      <c r="B175" s="382"/>
      <c r="D175" s="369"/>
      <c r="F175" s="382"/>
      <c r="K175" s="400"/>
      <c r="L175" s="369"/>
    </row>
    <row r="176" spans="1:12" ht="20.100000000000001" customHeight="1" x14ac:dyDescent="0.25">
      <c r="A176" s="396"/>
      <c r="B176" s="382"/>
      <c r="D176" s="369"/>
      <c r="F176" s="382"/>
      <c r="K176" s="400"/>
      <c r="L176" s="369"/>
    </row>
    <row r="177" spans="1:12" ht="20.100000000000001" customHeight="1" x14ac:dyDescent="0.25">
      <c r="A177" s="396"/>
      <c r="B177" s="382"/>
      <c r="D177" s="369"/>
      <c r="F177" s="382"/>
      <c r="K177" s="400"/>
      <c r="L177" s="369"/>
    </row>
    <row r="178" spans="1:12" ht="20.100000000000001" customHeight="1" x14ac:dyDescent="0.25">
      <c r="A178" s="396"/>
      <c r="B178" s="382"/>
      <c r="D178" s="369"/>
      <c r="F178" s="382"/>
      <c r="K178" s="400"/>
      <c r="L178" s="369"/>
    </row>
    <row r="179" spans="1:12" ht="20.100000000000001" customHeight="1" x14ac:dyDescent="0.25">
      <c r="A179" s="396"/>
      <c r="B179" s="382"/>
      <c r="D179" s="369"/>
      <c r="F179" s="382"/>
      <c r="K179" s="400"/>
      <c r="L179" s="369"/>
    </row>
    <row r="180" spans="1:12" ht="20.100000000000001" customHeight="1" x14ac:dyDescent="0.25">
      <c r="A180" s="396"/>
      <c r="B180" s="382"/>
      <c r="D180" s="369"/>
      <c r="F180" s="382"/>
      <c r="K180" s="400"/>
      <c r="L180" s="369"/>
    </row>
    <row r="181" spans="1:12" ht="20.100000000000001" customHeight="1" x14ac:dyDescent="0.25">
      <c r="A181" s="396"/>
      <c r="B181" s="382"/>
      <c r="D181" s="369"/>
      <c r="F181" s="382"/>
      <c r="K181" s="400"/>
      <c r="L181" s="369"/>
    </row>
    <row r="182" spans="1:12" ht="20.100000000000001" customHeight="1" x14ac:dyDescent="0.25">
      <c r="A182" s="396"/>
      <c r="B182" s="382"/>
      <c r="D182" s="369"/>
      <c r="F182" s="382"/>
      <c r="K182" s="400"/>
      <c r="L182" s="369"/>
    </row>
    <row r="183" spans="1:12" ht="20.100000000000001" customHeight="1" x14ac:dyDescent="0.25">
      <c r="A183" s="396"/>
      <c r="B183" s="382"/>
      <c r="D183" s="369"/>
      <c r="F183" s="382"/>
      <c r="K183" s="400"/>
      <c r="L183" s="369"/>
    </row>
    <row r="184" spans="1:12" ht="20.100000000000001" customHeight="1" x14ac:dyDescent="0.25">
      <c r="A184" s="396"/>
      <c r="B184" s="382"/>
      <c r="D184" s="369"/>
      <c r="F184" s="382"/>
      <c r="K184" s="400"/>
      <c r="L184" s="369"/>
    </row>
    <row r="185" spans="1:12" ht="20.100000000000001" customHeight="1" x14ac:dyDescent="0.25">
      <c r="A185" s="396"/>
      <c r="B185" s="382"/>
      <c r="D185" s="369"/>
      <c r="F185" s="382"/>
      <c r="K185" s="400"/>
      <c r="L185" s="369"/>
    </row>
    <row r="186" spans="1:12" ht="20.100000000000001" customHeight="1" x14ac:dyDescent="0.25">
      <c r="A186" s="396"/>
      <c r="B186" s="382"/>
      <c r="D186" s="369"/>
      <c r="F186" s="382"/>
      <c r="K186" s="400"/>
      <c r="L186" s="369"/>
    </row>
    <row r="187" spans="1:12" ht="20.100000000000001" customHeight="1" x14ac:dyDescent="0.25">
      <c r="A187" s="396"/>
      <c r="B187" s="382"/>
      <c r="D187" s="369"/>
      <c r="F187" s="382"/>
      <c r="K187" s="400"/>
      <c r="L187" s="369"/>
    </row>
    <row r="188" spans="1:12" ht="20.100000000000001" customHeight="1" x14ac:dyDescent="0.25">
      <c r="A188" s="396"/>
      <c r="B188" s="382"/>
      <c r="D188" s="369"/>
      <c r="F188" s="382"/>
      <c r="K188" s="400"/>
      <c r="L188" s="369"/>
    </row>
    <row r="189" spans="1:12" ht="20.100000000000001" customHeight="1" x14ac:dyDescent="0.25">
      <c r="A189" s="396"/>
      <c r="B189" s="382"/>
      <c r="D189" s="369"/>
      <c r="F189" s="382"/>
      <c r="K189" s="400"/>
      <c r="L189" s="369"/>
    </row>
    <row r="190" spans="1:12" ht="20.100000000000001" customHeight="1" x14ac:dyDescent="0.25">
      <c r="A190" s="396"/>
      <c r="B190" s="382"/>
      <c r="D190" s="369"/>
      <c r="F190" s="382"/>
      <c r="K190" s="400"/>
      <c r="L190" s="369"/>
    </row>
    <row r="191" spans="1:12" ht="20.100000000000001" customHeight="1" x14ac:dyDescent="0.25">
      <c r="A191" s="396"/>
      <c r="B191" s="382"/>
      <c r="D191" s="369"/>
      <c r="F191" s="382"/>
      <c r="K191" s="400"/>
      <c r="L191" s="369"/>
    </row>
    <row r="192" spans="1:12" ht="20.100000000000001" customHeight="1" x14ac:dyDescent="0.25">
      <c r="A192" s="396"/>
      <c r="B192" s="382"/>
      <c r="D192" s="369"/>
      <c r="F192" s="382"/>
      <c r="K192" s="400"/>
      <c r="L192" s="369"/>
    </row>
    <row r="193" spans="1:12" ht="20.100000000000001" customHeight="1" x14ac:dyDescent="0.25">
      <c r="A193" s="396"/>
      <c r="B193" s="382"/>
      <c r="D193" s="369"/>
      <c r="F193" s="382"/>
      <c r="K193" s="400"/>
      <c r="L193" s="369"/>
    </row>
    <row r="194" spans="1:12" ht="20.100000000000001" customHeight="1" x14ac:dyDescent="0.25">
      <c r="A194" s="396"/>
      <c r="B194" s="382"/>
      <c r="D194" s="369"/>
      <c r="F194" s="382"/>
      <c r="K194" s="400"/>
      <c r="L194" s="369"/>
    </row>
    <row r="195" spans="1:12" ht="20.100000000000001" customHeight="1" x14ac:dyDescent="0.25">
      <c r="A195" s="396"/>
      <c r="B195" s="382"/>
      <c r="D195" s="369"/>
      <c r="F195" s="382"/>
      <c r="K195" s="400"/>
      <c r="L195" s="369"/>
    </row>
    <row r="196" spans="1:12" ht="20.100000000000001" customHeight="1" x14ac:dyDescent="0.25">
      <c r="A196" s="396"/>
      <c r="B196" s="382"/>
      <c r="D196" s="369"/>
      <c r="F196" s="382"/>
      <c r="K196" s="400"/>
      <c r="L196" s="369"/>
    </row>
    <row r="197" spans="1:12" ht="20.100000000000001" customHeight="1" x14ac:dyDescent="0.25">
      <c r="A197" s="396"/>
      <c r="B197" s="382"/>
      <c r="D197" s="369"/>
      <c r="F197" s="382"/>
      <c r="K197" s="400"/>
      <c r="L197" s="369"/>
    </row>
    <row r="198" spans="1:12" ht="20.100000000000001" customHeight="1" x14ac:dyDescent="0.25">
      <c r="A198" s="396"/>
      <c r="B198" s="382"/>
      <c r="D198" s="369"/>
      <c r="F198" s="382"/>
      <c r="K198" s="400"/>
      <c r="L198" s="369"/>
    </row>
    <row r="199" spans="1:12" ht="20.100000000000001" customHeight="1" x14ac:dyDescent="0.25">
      <c r="A199" s="396"/>
      <c r="B199" s="382"/>
      <c r="D199" s="369"/>
      <c r="F199" s="382"/>
      <c r="K199" s="400"/>
      <c r="L199" s="369"/>
    </row>
    <row r="200" spans="1:12" ht="20.100000000000001" customHeight="1" x14ac:dyDescent="0.25">
      <c r="A200" s="396"/>
      <c r="B200" s="382"/>
      <c r="D200" s="369"/>
      <c r="F200" s="382"/>
      <c r="K200" s="400"/>
      <c r="L200" s="369"/>
    </row>
    <row r="201" spans="1:12" ht="20.100000000000001" customHeight="1" x14ac:dyDescent="0.25">
      <c r="A201" s="396"/>
      <c r="B201" s="382"/>
      <c r="D201" s="369"/>
      <c r="F201" s="382"/>
      <c r="K201" s="400"/>
      <c r="L201" s="369"/>
    </row>
    <row r="202" spans="1:12" ht="20.100000000000001" customHeight="1" x14ac:dyDescent="0.25">
      <c r="A202" s="396"/>
      <c r="B202" s="382"/>
      <c r="D202" s="369"/>
      <c r="F202" s="382"/>
      <c r="K202" s="400"/>
      <c r="L202" s="369"/>
    </row>
    <row r="203" spans="1:12" ht="20.100000000000001" customHeight="1" x14ac:dyDescent="0.25">
      <c r="A203" s="396"/>
      <c r="B203" s="382"/>
      <c r="D203" s="369"/>
      <c r="F203" s="382"/>
      <c r="K203" s="400"/>
      <c r="L203" s="369"/>
    </row>
    <row r="204" spans="1:12" ht="20.100000000000001" customHeight="1" x14ac:dyDescent="0.25">
      <c r="A204" s="396"/>
      <c r="B204" s="382"/>
      <c r="D204" s="369"/>
      <c r="F204" s="382"/>
      <c r="K204" s="400"/>
      <c r="L204" s="369"/>
    </row>
    <row r="205" spans="1:12" ht="20.100000000000001" customHeight="1" x14ac:dyDescent="0.25">
      <c r="A205" s="396"/>
      <c r="B205" s="382"/>
      <c r="D205" s="369"/>
      <c r="F205" s="382"/>
      <c r="K205" s="400"/>
      <c r="L205" s="369"/>
    </row>
    <row r="206" spans="1:12" ht="20.100000000000001" customHeight="1" x14ac:dyDescent="0.25">
      <c r="A206" s="396"/>
      <c r="B206" s="382"/>
      <c r="D206" s="369"/>
      <c r="F206" s="382"/>
      <c r="K206" s="400"/>
      <c r="L206" s="369"/>
    </row>
    <row r="207" spans="1:12" ht="20.100000000000001" customHeight="1" x14ac:dyDescent="0.25">
      <c r="A207" s="396"/>
      <c r="B207" s="382"/>
      <c r="D207" s="369"/>
      <c r="F207" s="382"/>
      <c r="K207" s="400"/>
      <c r="L207" s="369"/>
    </row>
    <row r="208" spans="1:12" ht="20.100000000000001" customHeight="1" x14ac:dyDescent="0.25">
      <c r="A208" s="396"/>
      <c r="B208" s="382"/>
      <c r="D208" s="369"/>
      <c r="F208" s="382"/>
      <c r="K208" s="400"/>
      <c r="L208" s="369"/>
    </row>
    <row r="209" spans="1:12" ht="20.100000000000001" customHeight="1" x14ac:dyDescent="0.25">
      <c r="A209" s="396"/>
      <c r="B209" s="382"/>
      <c r="D209" s="369"/>
      <c r="F209" s="382"/>
      <c r="K209" s="400"/>
      <c r="L209" s="369"/>
    </row>
    <row r="210" spans="1:12" ht="20.100000000000001" customHeight="1" x14ac:dyDescent="0.25">
      <c r="A210" s="396"/>
      <c r="B210" s="382"/>
      <c r="D210" s="369"/>
      <c r="F210" s="382"/>
      <c r="K210" s="400"/>
      <c r="L210" s="369"/>
    </row>
    <row r="211" spans="1:12" ht="20.100000000000001" customHeight="1" x14ac:dyDescent="0.25">
      <c r="A211" s="396"/>
      <c r="B211" s="382"/>
      <c r="D211" s="369"/>
      <c r="F211" s="382"/>
      <c r="K211" s="400"/>
      <c r="L211" s="369"/>
    </row>
    <row r="212" spans="1:12" ht="20.100000000000001" customHeight="1" x14ac:dyDescent="0.25">
      <c r="A212" s="396"/>
      <c r="B212" s="382"/>
      <c r="D212" s="369"/>
      <c r="F212" s="382"/>
      <c r="K212" s="400"/>
      <c r="L212" s="369"/>
    </row>
    <row r="213" spans="1:12" ht="20.100000000000001" customHeight="1" x14ac:dyDescent="0.25">
      <c r="A213" s="396"/>
      <c r="B213" s="382"/>
      <c r="D213" s="369"/>
      <c r="F213" s="382"/>
      <c r="K213" s="400"/>
      <c r="L213" s="369"/>
    </row>
    <row r="214" spans="1:12" ht="20.100000000000001" customHeight="1" x14ac:dyDescent="0.25">
      <c r="A214" s="396"/>
      <c r="B214" s="382"/>
      <c r="D214" s="369"/>
      <c r="F214" s="382"/>
      <c r="K214" s="400"/>
      <c r="L214" s="369"/>
    </row>
    <row r="215" spans="1:12" ht="20.100000000000001" customHeight="1" x14ac:dyDescent="0.25">
      <c r="A215" s="396"/>
      <c r="B215" s="382"/>
      <c r="D215" s="369"/>
      <c r="F215" s="382"/>
      <c r="K215" s="400"/>
      <c r="L215" s="369"/>
    </row>
    <row r="216" spans="1:12" ht="20.100000000000001" customHeight="1" x14ac:dyDescent="0.25">
      <c r="A216" s="396"/>
      <c r="B216" s="382"/>
      <c r="D216" s="369"/>
      <c r="F216" s="382"/>
      <c r="K216" s="400"/>
      <c r="L216" s="369"/>
    </row>
    <row r="217" spans="1:12" ht="20.100000000000001" customHeight="1" x14ac:dyDescent="0.25">
      <c r="A217" s="396"/>
      <c r="B217" s="382"/>
      <c r="D217" s="369"/>
      <c r="F217" s="382"/>
      <c r="K217" s="400"/>
      <c r="L217" s="369"/>
    </row>
    <row r="218" spans="1:12" ht="20.100000000000001" customHeight="1" x14ac:dyDescent="0.25">
      <c r="A218" s="396"/>
      <c r="B218" s="382"/>
      <c r="D218" s="369"/>
      <c r="F218" s="382"/>
      <c r="K218" s="400"/>
      <c r="L218" s="369"/>
    </row>
    <row r="219" spans="1:12" ht="20.100000000000001" customHeight="1" x14ac:dyDescent="0.25">
      <c r="A219" s="396"/>
      <c r="B219" s="382"/>
      <c r="D219" s="369"/>
      <c r="F219" s="382"/>
      <c r="K219" s="400"/>
      <c r="L219" s="369"/>
    </row>
    <row r="220" spans="1:12" ht="20.100000000000001" customHeight="1" x14ac:dyDescent="0.25">
      <c r="A220" s="396"/>
      <c r="B220" s="382"/>
      <c r="D220" s="369"/>
      <c r="F220" s="382"/>
      <c r="K220" s="400"/>
      <c r="L220" s="369"/>
    </row>
    <row r="221" spans="1:12" ht="20.100000000000001" customHeight="1" x14ac:dyDescent="0.25">
      <c r="A221" s="396"/>
      <c r="B221" s="382"/>
      <c r="D221" s="369"/>
      <c r="F221" s="382"/>
      <c r="K221" s="400"/>
      <c r="L221" s="369"/>
    </row>
    <row r="222" spans="1:12" ht="20.100000000000001" customHeight="1" x14ac:dyDescent="0.25">
      <c r="A222" s="396"/>
      <c r="B222" s="382"/>
      <c r="D222" s="369"/>
      <c r="F222" s="382"/>
      <c r="K222" s="400"/>
      <c r="L222" s="369"/>
    </row>
    <row r="223" spans="1:12" ht="20.100000000000001" customHeight="1" x14ac:dyDescent="0.25">
      <c r="A223" s="396"/>
      <c r="B223" s="382"/>
      <c r="D223" s="369"/>
      <c r="F223" s="382"/>
      <c r="K223" s="400"/>
      <c r="L223" s="369"/>
    </row>
    <row r="224" spans="1:12" ht="20.100000000000001" customHeight="1" x14ac:dyDescent="0.25">
      <c r="A224" s="396"/>
      <c r="B224" s="382"/>
      <c r="D224" s="369"/>
      <c r="F224" s="382"/>
      <c r="K224" s="400"/>
      <c r="L224" s="369"/>
    </row>
    <row r="225" spans="1:12" ht="20.100000000000001" customHeight="1" x14ac:dyDescent="0.25">
      <c r="A225" s="396"/>
      <c r="B225" s="382"/>
      <c r="D225" s="369"/>
      <c r="F225" s="382"/>
      <c r="K225" s="400"/>
      <c r="L225" s="369"/>
    </row>
    <row r="226" spans="1:12" ht="20.100000000000001" customHeight="1" x14ac:dyDescent="0.25">
      <c r="A226" s="396"/>
      <c r="B226" s="382"/>
      <c r="D226" s="369"/>
      <c r="F226" s="382"/>
      <c r="K226" s="400"/>
      <c r="L226" s="369"/>
    </row>
    <row r="227" spans="1:12" ht="20.100000000000001" customHeight="1" x14ac:dyDescent="0.25">
      <c r="A227" s="396"/>
      <c r="B227" s="382"/>
      <c r="D227" s="369"/>
      <c r="F227" s="382"/>
      <c r="K227" s="400"/>
      <c r="L227" s="369"/>
    </row>
    <row r="228" spans="1:12" ht="20.100000000000001" customHeight="1" x14ac:dyDescent="0.25">
      <c r="A228" s="396"/>
      <c r="B228" s="382"/>
      <c r="D228" s="369"/>
      <c r="F228" s="382"/>
      <c r="K228" s="400"/>
      <c r="L228" s="369"/>
    </row>
    <row r="229" spans="1:12" ht="20.100000000000001" customHeight="1" x14ac:dyDescent="0.25">
      <c r="A229" s="396"/>
      <c r="B229" s="382"/>
      <c r="D229" s="369"/>
      <c r="F229" s="382"/>
      <c r="K229" s="400"/>
      <c r="L229" s="369"/>
    </row>
    <row r="230" spans="1:12" ht="20.100000000000001" customHeight="1" x14ac:dyDescent="0.25">
      <c r="A230" s="396"/>
      <c r="B230" s="382"/>
      <c r="D230" s="369"/>
      <c r="F230" s="382"/>
      <c r="K230" s="400"/>
      <c r="L230" s="369"/>
    </row>
    <row r="231" spans="1:12" ht="20.100000000000001" customHeight="1" x14ac:dyDescent="0.25">
      <c r="A231" s="396"/>
      <c r="B231" s="382"/>
      <c r="D231" s="369"/>
      <c r="F231" s="382"/>
      <c r="K231" s="400"/>
      <c r="L231" s="369"/>
    </row>
    <row r="232" spans="1:12" ht="20.100000000000001" customHeight="1" x14ac:dyDescent="0.25">
      <c r="A232" s="396"/>
      <c r="B232" s="382"/>
      <c r="D232" s="369"/>
      <c r="F232" s="382"/>
      <c r="K232" s="400"/>
      <c r="L232" s="369"/>
    </row>
    <row r="233" spans="1:12" ht="20.100000000000001" customHeight="1" x14ac:dyDescent="0.25">
      <c r="A233" s="396"/>
      <c r="B233" s="382"/>
      <c r="D233" s="369"/>
      <c r="F233" s="382"/>
      <c r="K233" s="400"/>
      <c r="L233" s="369"/>
    </row>
    <row r="234" spans="1:12" ht="20.100000000000001" customHeight="1" x14ac:dyDescent="0.25">
      <c r="A234" s="396"/>
      <c r="B234" s="382"/>
      <c r="D234" s="369"/>
      <c r="F234" s="382"/>
      <c r="K234" s="400"/>
      <c r="L234" s="369"/>
    </row>
    <row r="235" spans="1:12" ht="20.100000000000001" customHeight="1" x14ac:dyDescent="0.25">
      <c r="A235" s="396"/>
      <c r="B235" s="382"/>
      <c r="D235" s="369"/>
      <c r="F235" s="382"/>
      <c r="K235" s="400"/>
      <c r="L235" s="369"/>
    </row>
    <row r="236" spans="1:12" ht="20.100000000000001" customHeight="1" x14ac:dyDescent="0.25">
      <c r="A236" s="396"/>
      <c r="B236" s="382"/>
      <c r="D236" s="369"/>
      <c r="F236" s="382"/>
      <c r="K236" s="400"/>
      <c r="L236" s="369"/>
    </row>
    <row r="237" spans="1:12" ht="20.100000000000001" customHeight="1" x14ac:dyDescent="0.25">
      <c r="A237" s="396"/>
      <c r="B237" s="382"/>
      <c r="D237" s="369"/>
      <c r="F237" s="382"/>
      <c r="K237" s="400"/>
      <c r="L237" s="369"/>
    </row>
    <row r="238" spans="1:12" ht="20.100000000000001" customHeight="1" x14ac:dyDescent="0.25">
      <c r="A238" s="396"/>
      <c r="B238" s="382"/>
      <c r="D238" s="369"/>
      <c r="F238" s="382"/>
      <c r="K238" s="400"/>
      <c r="L238" s="369"/>
    </row>
    <row r="239" spans="1:12" ht="20.100000000000001" customHeight="1" x14ac:dyDescent="0.25">
      <c r="A239" s="396"/>
      <c r="B239" s="382"/>
      <c r="D239" s="369"/>
      <c r="F239" s="382"/>
      <c r="K239" s="400"/>
      <c r="L239" s="369"/>
    </row>
    <row r="240" spans="1:12" ht="20.100000000000001" customHeight="1" x14ac:dyDescent="0.25">
      <c r="A240" s="396"/>
      <c r="B240" s="382"/>
      <c r="D240" s="369"/>
      <c r="F240" s="382"/>
      <c r="K240" s="400"/>
      <c r="L240" s="369"/>
    </row>
    <row r="241" spans="1:12" ht="20.100000000000001" customHeight="1" x14ac:dyDescent="0.25">
      <c r="A241" s="396"/>
      <c r="B241" s="382"/>
      <c r="D241" s="369"/>
      <c r="F241" s="382"/>
      <c r="K241" s="400"/>
      <c r="L241" s="369"/>
    </row>
    <row r="242" spans="1:12" ht="20.100000000000001" customHeight="1" x14ac:dyDescent="0.25">
      <c r="A242" s="396"/>
      <c r="B242" s="382"/>
      <c r="D242" s="369"/>
      <c r="F242" s="382"/>
      <c r="K242" s="400"/>
      <c r="L242" s="369"/>
    </row>
    <row r="243" spans="1:12" ht="20.100000000000001" customHeight="1" x14ac:dyDescent="0.25">
      <c r="A243" s="396"/>
      <c r="B243" s="382"/>
      <c r="D243" s="369"/>
      <c r="F243" s="382"/>
      <c r="K243" s="400"/>
      <c r="L243" s="369"/>
    </row>
    <row r="244" spans="1:12" ht="20.100000000000001" customHeight="1" x14ac:dyDescent="0.25">
      <c r="A244" s="396"/>
      <c r="B244" s="382"/>
      <c r="D244" s="369"/>
      <c r="F244" s="382"/>
      <c r="K244" s="400"/>
      <c r="L244" s="369"/>
    </row>
    <row r="245" spans="1:12" ht="20.100000000000001" customHeight="1" x14ac:dyDescent="0.25">
      <c r="A245" s="396"/>
      <c r="B245" s="382"/>
      <c r="D245" s="369"/>
      <c r="F245" s="382"/>
      <c r="K245" s="400"/>
      <c r="L245" s="369"/>
    </row>
    <row r="246" spans="1:12" ht="20.100000000000001" customHeight="1" x14ac:dyDescent="0.25">
      <c r="A246" s="396"/>
      <c r="B246" s="382"/>
      <c r="D246" s="369"/>
      <c r="F246" s="382"/>
      <c r="K246" s="400"/>
      <c r="L246" s="369"/>
    </row>
    <row r="247" spans="1:12" ht="20.100000000000001" customHeight="1" x14ac:dyDescent="0.25">
      <c r="A247" s="396"/>
      <c r="B247" s="382"/>
      <c r="D247" s="369"/>
      <c r="F247" s="382"/>
      <c r="K247" s="400"/>
      <c r="L247" s="369"/>
    </row>
    <row r="248" spans="1:12" ht="20.100000000000001" customHeight="1" x14ac:dyDescent="0.25">
      <c r="A248" s="396"/>
      <c r="B248" s="382"/>
      <c r="D248" s="369"/>
      <c r="F248" s="382"/>
      <c r="K248" s="400"/>
      <c r="L248" s="369"/>
    </row>
    <row r="249" spans="1:12" ht="20.100000000000001" customHeight="1" x14ac:dyDescent="0.25">
      <c r="A249" s="396"/>
      <c r="B249" s="382"/>
      <c r="D249" s="369"/>
      <c r="F249" s="382"/>
      <c r="K249" s="400"/>
      <c r="L249" s="369"/>
    </row>
    <row r="250" spans="1:12" ht="20.100000000000001" customHeight="1" x14ac:dyDescent="0.25">
      <c r="A250" s="396"/>
      <c r="B250" s="382"/>
      <c r="D250" s="369"/>
      <c r="F250" s="382"/>
      <c r="K250" s="400"/>
      <c r="L250" s="369"/>
    </row>
    <row r="251" spans="1:12" ht="20.100000000000001" customHeight="1" x14ac:dyDescent="0.25">
      <c r="A251" s="396"/>
      <c r="B251" s="382"/>
      <c r="D251" s="369"/>
      <c r="F251" s="382"/>
      <c r="K251" s="400"/>
      <c r="L251" s="369"/>
    </row>
    <row r="252" spans="1:12" ht="20.100000000000001" customHeight="1" x14ac:dyDescent="0.25">
      <c r="A252" s="396"/>
      <c r="B252" s="382"/>
      <c r="D252" s="369"/>
      <c r="F252" s="382"/>
      <c r="K252" s="400"/>
      <c r="L252" s="369"/>
    </row>
    <row r="253" spans="1:12" ht="20.100000000000001" customHeight="1" x14ac:dyDescent="0.25">
      <c r="A253" s="396"/>
      <c r="B253" s="382"/>
      <c r="D253" s="369"/>
      <c r="F253" s="382"/>
      <c r="K253" s="400"/>
      <c r="L253" s="369"/>
    </row>
    <row r="254" spans="1:12" ht="20.100000000000001" customHeight="1" x14ac:dyDescent="0.25">
      <c r="A254" s="396"/>
      <c r="B254" s="382"/>
      <c r="D254" s="369"/>
      <c r="F254" s="382"/>
      <c r="K254" s="400"/>
      <c r="L254" s="369"/>
    </row>
    <row r="255" spans="1:12" ht="20.100000000000001" customHeight="1" x14ac:dyDescent="0.25">
      <c r="A255" s="396"/>
      <c r="B255" s="382"/>
      <c r="D255" s="369"/>
      <c r="F255" s="382"/>
      <c r="K255" s="400"/>
      <c r="L255" s="369"/>
    </row>
    <row r="256" spans="1:12" ht="20.100000000000001" customHeight="1" x14ac:dyDescent="0.25">
      <c r="A256" s="396"/>
      <c r="B256" s="382"/>
      <c r="D256" s="369"/>
      <c r="F256" s="382"/>
      <c r="K256" s="400"/>
      <c r="L256" s="369"/>
    </row>
    <row r="257" spans="1:12" ht="20.100000000000001" customHeight="1" x14ac:dyDescent="0.25">
      <c r="A257" s="396"/>
      <c r="B257" s="382"/>
      <c r="D257" s="369"/>
      <c r="F257" s="382"/>
      <c r="K257" s="400"/>
      <c r="L257" s="369"/>
    </row>
    <row r="258" spans="1:12" ht="20.100000000000001" customHeight="1" x14ac:dyDescent="0.25">
      <c r="A258" s="396"/>
      <c r="B258" s="382"/>
      <c r="D258" s="369"/>
      <c r="F258" s="382"/>
      <c r="K258" s="400"/>
      <c r="L258" s="369"/>
    </row>
    <row r="259" spans="1:12" ht="20.100000000000001" customHeight="1" x14ac:dyDescent="0.25">
      <c r="A259" s="396"/>
      <c r="B259" s="382"/>
      <c r="D259" s="369"/>
      <c r="F259" s="382"/>
      <c r="K259" s="400"/>
      <c r="L259" s="369"/>
    </row>
    <row r="260" spans="1:12" ht="20.100000000000001" customHeight="1" x14ac:dyDescent="0.25">
      <c r="A260" s="396"/>
      <c r="B260" s="382"/>
      <c r="D260" s="369"/>
      <c r="F260" s="382"/>
      <c r="K260" s="400"/>
      <c r="L260" s="369"/>
    </row>
    <row r="261" spans="1:12" ht="20.100000000000001" customHeight="1" x14ac:dyDescent="0.25">
      <c r="A261" s="396"/>
      <c r="B261" s="382"/>
      <c r="D261" s="369"/>
      <c r="F261" s="382"/>
      <c r="K261" s="400"/>
      <c r="L261" s="369"/>
    </row>
    <row r="262" spans="1:12" ht="20.100000000000001" customHeight="1" x14ac:dyDescent="0.25">
      <c r="A262" s="396"/>
      <c r="B262" s="382"/>
      <c r="D262" s="369"/>
      <c r="F262" s="382"/>
      <c r="K262" s="400"/>
      <c r="L262" s="369"/>
    </row>
    <row r="263" spans="1:12" ht="20.100000000000001" customHeight="1" x14ac:dyDescent="0.25">
      <c r="A263" s="396"/>
      <c r="B263" s="382"/>
      <c r="D263" s="369"/>
      <c r="F263" s="382"/>
      <c r="K263" s="400"/>
      <c r="L263" s="369"/>
    </row>
    <row r="264" spans="1:12" ht="20.100000000000001" customHeight="1" x14ac:dyDescent="0.25">
      <c r="A264" s="396"/>
      <c r="B264" s="382"/>
      <c r="D264" s="369"/>
      <c r="F264" s="382"/>
      <c r="K264" s="400"/>
      <c r="L264" s="369"/>
    </row>
    <row r="265" spans="1:12" ht="20.100000000000001" customHeight="1" x14ac:dyDescent="0.25">
      <c r="A265" s="396"/>
      <c r="B265" s="382"/>
      <c r="D265" s="369"/>
      <c r="F265" s="382"/>
      <c r="K265" s="400"/>
      <c r="L265" s="369"/>
    </row>
    <row r="266" spans="1:12" ht="20.100000000000001" customHeight="1" x14ac:dyDescent="0.25">
      <c r="A266" s="396"/>
      <c r="B266" s="382"/>
      <c r="D266" s="369"/>
      <c r="F266" s="382"/>
      <c r="K266" s="400"/>
      <c r="L266" s="369"/>
    </row>
    <row r="267" spans="1:12" ht="20.100000000000001" customHeight="1" x14ac:dyDescent="0.25">
      <c r="A267" s="396"/>
      <c r="B267" s="382"/>
      <c r="D267" s="369"/>
      <c r="F267" s="382"/>
      <c r="K267" s="400"/>
      <c r="L267" s="369"/>
    </row>
    <row r="268" spans="1:12" ht="20.100000000000001" customHeight="1" x14ac:dyDescent="0.25">
      <c r="A268" s="396"/>
      <c r="B268" s="382"/>
      <c r="D268" s="369"/>
      <c r="F268" s="382"/>
      <c r="K268" s="400"/>
      <c r="L268" s="369"/>
    </row>
    <row r="269" spans="1:12" ht="20.100000000000001" customHeight="1" x14ac:dyDescent="0.25">
      <c r="A269" s="396"/>
      <c r="B269" s="382"/>
      <c r="D269" s="369"/>
      <c r="F269" s="382"/>
      <c r="K269" s="400"/>
      <c r="L269" s="369"/>
    </row>
    <row r="270" spans="1:12" ht="20.100000000000001" customHeight="1" x14ac:dyDescent="0.25">
      <c r="A270" s="396"/>
      <c r="B270" s="382"/>
      <c r="D270" s="369"/>
      <c r="F270" s="382"/>
      <c r="K270" s="400"/>
      <c r="L270" s="369"/>
    </row>
    <row r="271" spans="1:12" ht="20.100000000000001" customHeight="1" x14ac:dyDescent="0.25">
      <c r="A271" s="396"/>
      <c r="B271" s="382"/>
      <c r="D271" s="369"/>
      <c r="F271" s="382"/>
      <c r="K271" s="400"/>
      <c r="L271" s="369"/>
    </row>
    <row r="272" spans="1:12" ht="20.100000000000001" customHeight="1" x14ac:dyDescent="0.25">
      <c r="A272" s="396"/>
      <c r="B272" s="382"/>
      <c r="D272" s="369"/>
      <c r="F272" s="382"/>
      <c r="K272" s="400"/>
      <c r="L272" s="369"/>
    </row>
    <row r="273" spans="1:12" ht="20.100000000000001" customHeight="1" x14ac:dyDescent="0.25">
      <c r="A273" s="396"/>
      <c r="B273" s="382"/>
      <c r="D273" s="369"/>
      <c r="F273" s="382"/>
      <c r="K273" s="400"/>
      <c r="L273" s="369"/>
    </row>
    <row r="274" spans="1:12" ht="20.100000000000001" customHeight="1" x14ac:dyDescent="0.25">
      <c r="A274" s="396"/>
      <c r="B274" s="382"/>
      <c r="D274" s="369"/>
      <c r="F274" s="382"/>
      <c r="K274" s="400"/>
      <c r="L274" s="369"/>
    </row>
    <row r="275" spans="1:12" ht="20.100000000000001" customHeight="1" x14ac:dyDescent="0.25">
      <c r="A275" s="396"/>
      <c r="B275" s="382"/>
      <c r="D275" s="369"/>
      <c r="F275" s="382"/>
      <c r="K275" s="400"/>
      <c r="L275" s="369"/>
    </row>
    <row r="276" spans="1:12" ht="20.100000000000001" customHeight="1" x14ac:dyDescent="0.25">
      <c r="A276" s="396"/>
      <c r="B276" s="382"/>
      <c r="D276" s="369"/>
      <c r="F276" s="382"/>
      <c r="K276" s="400"/>
      <c r="L276" s="369"/>
    </row>
    <row r="277" spans="1:12" ht="20.100000000000001" customHeight="1" x14ac:dyDescent="0.25">
      <c r="A277" s="396"/>
      <c r="B277" s="382"/>
      <c r="D277" s="369"/>
      <c r="F277" s="382"/>
      <c r="K277" s="400"/>
      <c r="L277" s="369"/>
    </row>
    <row r="278" spans="1:12" ht="20.100000000000001" customHeight="1" x14ac:dyDescent="0.25">
      <c r="A278" s="396"/>
      <c r="B278" s="382"/>
      <c r="D278" s="369"/>
      <c r="F278" s="382"/>
      <c r="K278" s="400"/>
      <c r="L278" s="369"/>
    </row>
    <row r="279" spans="1:12" ht="20.100000000000001" customHeight="1" x14ac:dyDescent="0.25">
      <c r="A279" s="396"/>
      <c r="B279" s="382"/>
      <c r="D279" s="369"/>
      <c r="F279" s="382"/>
      <c r="K279" s="400"/>
      <c r="L279" s="369"/>
    </row>
    <row r="280" spans="1:12" ht="20.100000000000001" customHeight="1" x14ac:dyDescent="0.25">
      <c r="A280" s="396"/>
      <c r="B280" s="382"/>
      <c r="D280" s="369"/>
      <c r="F280" s="382"/>
      <c r="K280" s="400"/>
      <c r="L280" s="369"/>
    </row>
    <row r="281" spans="1:12" ht="20.100000000000001" customHeight="1" x14ac:dyDescent="0.25">
      <c r="A281" s="396"/>
      <c r="B281" s="382"/>
      <c r="D281" s="369"/>
      <c r="F281" s="382"/>
      <c r="K281" s="400"/>
      <c r="L281" s="369"/>
    </row>
    <row r="282" spans="1:12" ht="20.100000000000001" customHeight="1" x14ac:dyDescent="0.25">
      <c r="A282" s="396"/>
      <c r="B282" s="382"/>
      <c r="D282" s="369"/>
      <c r="F282" s="382"/>
      <c r="K282" s="400"/>
      <c r="L282" s="369"/>
    </row>
    <row r="283" spans="1:12" ht="20.100000000000001" customHeight="1" x14ac:dyDescent="0.25">
      <c r="A283" s="396"/>
      <c r="B283" s="382"/>
      <c r="D283" s="369"/>
      <c r="F283" s="382"/>
      <c r="K283" s="400"/>
      <c r="L283" s="369"/>
    </row>
    <row r="284" spans="1:12" ht="20.100000000000001" customHeight="1" x14ac:dyDescent="0.25">
      <c r="A284" s="396"/>
      <c r="B284" s="382"/>
      <c r="D284" s="369"/>
      <c r="F284" s="382"/>
      <c r="K284" s="400"/>
      <c r="L284" s="369"/>
    </row>
    <row r="285" spans="1:12" ht="20.100000000000001" customHeight="1" x14ac:dyDescent="0.25">
      <c r="A285" s="396"/>
      <c r="B285" s="382"/>
      <c r="D285" s="369"/>
      <c r="F285" s="382"/>
      <c r="K285" s="400"/>
      <c r="L285" s="369"/>
    </row>
    <row r="286" spans="1:12" ht="20.100000000000001" customHeight="1" x14ac:dyDescent="0.25">
      <c r="A286" s="396"/>
      <c r="B286" s="382"/>
      <c r="D286" s="369"/>
      <c r="F286" s="382"/>
      <c r="K286" s="400"/>
      <c r="L286" s="369"/>
    </row>
    <row r="287" spans="1:12" ht="20.100000000000001" customHeight="1" x14ac:dyDescent="0.25">
      <c r="A287" s="396"/>
      <c r="B287" s="382"/>
      <c r="D287" s="369"/>
      <c r="F287" s="382"/>
      <c r="K287" s="400"/>
      <c r="L287" s="369"/>
    </row>
    <row r="288" spans="1:12" ht="20.100000000000001" customHeight="1" x14ac:dyDescent="0.25">
      <c r="A288" s="396"/>
      <c r="B288" s="382"/>
      <c r="D288" s="369"/>
      <c r="F288" s="382"/>
      <c r="K288" s="400"/>
      <c r="L288" s="369"/>
    </row>
    <row r="289" spans="1:12" ht="20.100000000000001" customHeight="1" x14ac:dyDescent="0.25">
      <c r="A289" s="396"/>
      <c r="B289" s="382"/>
      <c r="D289" s="369"/>
      <c r="F289" s="382"/>
      <c r="K289" s="400"/>
      <c r="L289" s="369"/>
    </row>
    <row r="290" spans="1:12" ht="20.100000000000001" customHeight="1" x14ac:dyDescent="0.25">
      <c r="A290" s="396"/>
      <c r="B290" s="382"/>
      <c r="D290" s="369"/>
      <c r="F290" s="382"/>
      <c r="K290" s="400"/>
      <c r="L290" s="369"/>
    </row>
    <row r="291" spans="1:12" ht="20.100000000000001" customHeight="1" x14ac:dyDescent="0.25">
      <c r="A291" s="396"/>
      <c r="B291" s="382"/>
      <c r="D291" s="369"/>
      <c r="F291" s="382"/>
      <c r="K291" s="400"/>
      <c r="L291" s="369"/>
    </row>
    <row r="292" spans="1:12" ht="20.100000000000001" customHeight="1" x14ac:dyDescent="0.25">
      <c r="A292" s="396"/>
      <c r="B292" s="382"/>
      <c r="D292" s="369"/>
      <c r="F292" s="382"/>
      <c r="K292" s="400"/>
      <c r="L292" s="369"/>
    </row>
    <row r="293" spans="1:12" ht="20.100000000000001" customHeight="1" x14ac:dyDescent="0.25">
      <c r="A293" s="396"/>
      <c r="B293" s="382"/>
      <c r="D293" s="369"/>
      <c r="F293" s="382"/>
      <c r="K293" s="400"/>
      <c r="L293" s="369"/>
    </row>
    <row r="294" spans="1:12" ht="20.100000000000001" customHeight="1" x14ac:dyDescent="0.25">
      <c r="A294" s="396"/>
      <c r="B294" s="382"/>
      <c r="D294" s="369"/>
      <c r="F294" s="382"/>
      <c r="K294" s="400"/>
      <c r="L294" s="369"/>
    </row>
    <row r="295" spans="1:12" ht="20.100000000000001" customHeight="1" x14ac:dyDescent="0.25">
      <c r="A295" s="396"/>
      <c r="B295" s="382"/>
      <c r="D295" s="369"/>
      <c r="F295" s="382"/>
      <c r="K295" s="400"/>
      <c r="L295" s="369"/>
    </row>
    <row r="296" spans="1:12" ht="20.100000000000001" customHeight="1" x14ac:dyDescent="0.25">
      <c r="A296" s="396"/>
      <c r="B296" s="382"/>
      <c r="D296" s="369"/>
      <c r="F296" s="382"/>
      <c r="K296" s="400"/>
      <c r="L296" s="369"/>
    </row>
    <row r="297" spans="1:12" ht="20.100000000000001" customHeight="1" x14ac:dyDescent="0.25">
      <c r="A297" s="396"/>
      <c r="B297" s="382"/>
      <c r="D297" s="369"/>
      <c r="F297" s="382"/>
      <c r="K297" s="400"/>
      <c r="L297" s="369"/>
    </row>
    <row r="298" spans="1:12" ht="20.100000000000001" customHeight="1" x14ac:dyDescent="0.25">
      <c r="A298" s="396"/>
      <c r="B298" s="382"/>
      <c r="D298" s="369"/>
      <c r="F298" s="382"/>
      <c r="K298" s="400"/>
      <c r="L298" s="369"/>
    </row>
    <row r="299" spans="1:12" ht="20.100000000000001" customHeight="1" x14ac:dyDescent="0.25">
      <c r="A299" s="396"/>
      <c r="B299" s="382"/>
      <c r="D299" s="369"/>
      <c r="F299" s="382"/>
      <c r="K299" s="400"/>
      <c r="L299" s="369"/>
    </row>
    <row r="300" spans="1:12" ht="20.100000000000001" customHeight="1" x14ac:dyDescent="0.25">
      <c r="A300" s="396"/>
      <c r="B300" s="382"/>
      <c r="D300" s="369"/>
      <c r="F300" s="382"/>
      <c r="K300" s="400"/>
      <c r="L300" s="369"/>
    </row>
    <row r="301" spans="1:12" ht="20.100000000000001" customHeight="1" x14ac:dyDescent="0.25">
      <c r="A301" s="396"/>
      <c r="B301" s="382"/>
      <c r="D301" s="369"/>
      <c r="F301" s="382"/>
      <c r="K301" s="400"/>
      <c r="L301" s="369"/>
    </row>
    <row r="302" spans="1:12" ht="20.100000000000001" customHeight="1" x14ac:dyDescent="0.25">
      <c r="A302" s="396"/>
      <c r="B302" s="382"/>
      <c r="D302" s="369"/>
      <c r="F302" s="382"/>
      <c r="K302" s="400"/>
      <c r="L302" s="369"/>
    </row>
    <row r="303" spans="1:12" ht="20.100000000000001" customHeight="1" x14ac:dyDescent="0.25">
      <c r="A303" s="396"/>
      <c r="B303" s="382"/>
      <c r="D303" s="369"/>
      <c r="F303" s="382"/>
      <c r="K303" s="400"/>
      <c r="L303" s="369"/>
    </row>
    <row r="304" spans="1:12" ht="20.100000000000001" customHeight="1" x14ac:dyDescent="0.25">
      <c r="A304" s="396"/>
      <c r="B304" s="382"/>
      <c r="D304" s="369"/>
      <c r="F304" s="382"/>
      <c r="K304" s="400"/>
      <c r="L304" s="369"/>
    </row>
    <row r="305" spans="1:12" ht="20.100000000000001" customHeight="1" x14ac:dyDescent="0.25">
      <c r="A305" s="396"/>
      <c r="B305" s="382"/>
      <c r="D305" s="369"/>
      <c r="F305" s="382"/>
      <c r="K305" s="400"/>
      <c r="L305" s="369"/>
    </row>
    <row r="306" spans="1:12" ht="20.100000000000001" customHeight="1" x14ac:dyDescent="0.25">
      <c r="A306" s="396"/>
      <c r="B306" s="382"/>
      <c r="D306" s="369"/>
      <c r="F306" s="382"/>
      <c r="K306" s="400"/>
      <c r="L306" s="369"/>
    </row>
    <row r="307" spans="1:12" ht="20.100000000000001" customHeight="1" x14ac:dyDescent="0.25">
      <c r="A307" s="396"/>
      <c r="B307" s="382"/>
      <c r="D307" s="369"/>
      <c r="F307" s="382"/>
      <c r="K307" s="400"/>
      <c r="L307" s="369"/>
    </row>
    <row r="308" spans="1:12" ht="20.100000000000001" customHeight="1" x14ac:dyDescent="0.25">
      <c r="A308" s="396"/>
      <c r="B308" s="382"/>
      <c r="D308" s="369"/>
      <c r="F308" s="382"/>
      <c r="K308" s="400"/>
      <c r="L308" s="369"/>
    </row>
    <row r="309" spans="1:12" ht="20.100000000000001" customHeight="1" x14ac:dyDescent="0.25">
      <c r="A309" s="396"/>
      <c r="B309" s="382"/>
      <c r="D309" s="369"/>
      <c r="F309" s="382"/>
      <c r="K309" s="400"/>
      <c r="L309" s="369"/>
    </row>
    <row r="310" spans="1:12" ht="20.100000000000001" customHeight="1" x14ac:dyDescent="0.25">
      <c r="A310" s="396"/>
      <c r="B310" s="382"/>
      <c r="D310" s="369"/>
      <c r="F310" s="382"/>
      <c r="K310" s="400"/>
      <c r="L310" s="369"/>
    </row>
    <row r="311" spans="1:12" ht="20.100000000000001" customHeight="1" x14ac:dyDescent="0.25">
      <c r="A311" s="396"/>
      <c r="B311" s="382"/>
      <c r="D311" s="369"/>
      <c r="F311" s="382"/>
      <c r="K311" s="400"/>
      <c r="L311" s="369"/>
    </row>
    <row r="312" spans="1:12" ht="20.100000000000001" customHeight="1" x14ac:dyDescent="0.25">
      <c r="A312" s="396"/>
      <c r="B312" s="382"/>
      <c r="D312" s="369"/>
      <c r="F312" s="382"/>
      <c r="K312" s="400"/>
      <c r="L312" s="369"/>
    </row>
    <row r="313" spans="1:12" ht="20.100000000000001" customHeight="1" x14ac:dyDescent="0.25">
      <c r="A313" s="396"/>
      <c r="B313" s="382"/>
      <c r="D313" s="369"/>
      <c r="F313" s="382"/>
      <c r="K313" s="400"/>
      <c r="L313" s="369"/>
    </row>
    <row r="314" spans="1:12" ht="20.100000000000001" customHeight="1" x14ac:dyDescent="0.25">
      <c r="A314" s="396"/>
      <c r="B314" s="382"/>
      <c r="D314" s="369"/>
      <c r="F314" s="382"/>
      <c r="K314" s="400"/>
      <c r="L314" s="369"/>
    </row>
    <row r="315" spans="1:12" ht="20.100000000000001" customHeight="1" x14ac:dyDescent="0.25">
      <c r="A315" s="396"/>
      <c r="B315" s="382"/>
      <c r="D315" s="369"/>
      <c r="F315" s="382"/>
      <c r="K315" s="400"/>
      <c r="L315" s="369"/>
    </row>
    <row r="316" spans="1:12" ht="20.100000000000001" customHeight="1" x14ac:dyDescent="0.25">
      <c r="A316" s="396"/>
      <c r="B316" s="382"/>
      <c r="D316" s="369"/>
      <c r="F316" s="382"/>
      <c r="K316" s="400"/>
      <c r="L316" s="369"/>
    </row>
    <row r="317" spans="1:12" ht="20.100000000000001" customHeight="1" x14ac:dyDescent="0.25">
      <c r="A317" s="396"/>
      <c r="B317" s="382"/>
      <c r="D317" s="369"/>
      <c r="F317" s="382"/>
      <c r="K317" s="400"/>
      <c r="L317" s="369"/>
    </row>
    <row r="318" spans="1:12" ht="20.100000000000001" customHeight="1" x14ac:dyDescent="0.25">
      <c r="A318" s="396"/>
      <c r="B318" s="382"/>
      <c r="D318" s="369"/>
      <c r="F318" s="382"/>
      <c r="K318" s="400"/>
      <c r="L318" s="369"/>
    </row>
    <row r="319" spans="1:12" ht="20.100000000000001" customHeight="1" x14ac:dyDescent="0.25">
      <c r="A319" s="396"/>
      <c r="B319" s="382"/>
      <c r="D319" s="369"/>
      <c r="F319" s="382"/>
      <c r="K319" s="400"/>
      <c r="L319" s="369"/>
    </row>
    <row r="320" spans="1:12" ht="20.100000000000001" customHeight="1" x14ac:dyDescent="0.25">
      <c r="A320" s="396"/>
      <c r="B320" s="382"/>
      <c r="D320" s="369"/>
      <c r="F320" s="382"/>
      <c r="K320" s="400"/>
      <c r="L320" s="369"/>
    </row>
    <row r="321" spans="1:12" ht="20.100000000000001" customHeight="1" x14ac:dyDescent="0.25">
      <c r="A321" s="396"/>
      <c r="B321" s="382"/>
      <c r="D321" s="369"/>
      <c r="F321" s="382"/>
      <c r="K321" s="400"/>
      <c r="L321" s="369"/>
    </row>
    <row r="322" spans="1:12" ht="20.100000000000001" customHeight="1" x14ac:dyDescent="0.25">
      <c r="A322" s="396"/>
      <c r="B322" s="382"/>
      <c r="D322" s="369"/>
      <c r="F322" s="382"/>
      <c r="K322" s="400"/>
      <c r="L322" s="369"/>
    </row>
    <row r="323" spans="1:12" ht="20.100000000000001" customHeight="1" x14ac:dyDescent="0.25">
      <c r="A323" s="396"/>
      <c r="B323" s="382"/>
      <c r="D323" s="369"/>
      <c r="F323" s="382"/>
      <c r="K323" s="400"/>
      <c r="L323" s="369"/>
    </row>
    <row r="324" spans="1:12" ht="20.100000000000001" customHeight="1" x14ac:dyDescent="0.25">
      <c r="A324" s="396"/>
      <c r="B324" s="382"/>
      <c r="D324" s="369"/>
      <c r="F324" s="382"/>
      <c r="K324" s="400"/>
      <c r="L324" s="369"/>
    </row>
    <row r="325" spans="1:12" ht="20.100000000000001" customHeight="1" x14ac:dyDescent="0.25">
      <c r="A325" s="396"/>
      <c r="B325" s="382"/>
      <c r="D325" s="369"/>
      <c r="F325" s="382"/>
      <c r="K325" s="400"/>
      <c r="L325" s="369"/>
    </row>
    <row r="326" spans="1:12" ht="20.100000000000001" customHeight="1" x14ac:dyDescent="0.25">
      <c r="A326" s="396"/>
      <c r="B326" s="382"/>
      <c r="D326" s="369"/>
      <c r="F326" s="382"/>
      <c r="K326" s="400"/>
      <c r="L326" s="369"/>
    </row>
    <row r="327" spans="1:12" ht="20.100000000000001" customHeight="1" x14ac:dyDescent="0.25">
      <c r="A327" s="396"/>
      <c r="B327" s="382"/>
      <c r="D327" s="369"/>
      <c r="F327" s="382"/>
      <c r="K327" s="400"/>
      <c r="L327" s="369"/>
    </row>
    <row r="328" spans="1:12" ht="20.100000000000001" customHeight="1" x14ac:dyDescent="0.25">
      <c r="A328" s="396"/>
      <c r="B328" s="382"/>
      <c r="D328" s="369"/>
      <c r="F328" s="382"/>
      <c r="K328" s="400"/>
      <c r="L328" s="369"/>
    </row>
    <row r="329" spans="1:12" ht="20.100000000000001" customHeight="1" x14ac:dyDescent="0.25">
      <c r="A329" s="396"/>
      <c r="B329" s="382"/>
      <c r="D329" s="369"/>
      <c r="F329" s="382"/>
      <c r="K329" s="400"/>
      <c r="L329" s="369"/>
    </row>
    <row r="330" spans="1:12" ht="20.100000000000001" customHeight="1" x14ac:dyDescent="0.25">
      <c r="A330" s="396"/>
      <c r="B330" s="382"/>
      <c r="D330" s="369"/>
      <c r="F330" s="382"/>
      <c r="K330" s="400"/>
      <c r="L330" s="369"/>
    </row>
    <row r="331" spans="1:12" ht="20.100000000000001" customHeight="1" x14ac:dyDescent="0.25">
      <c r="A331" s="396"/>
      <c r="B331" s="382"/>
      <c r="D331" s="369"/>
      <c r="F331" s="382"/>
      <c r="K331" s="400"/>
      <c r="L331" s="369"/>
    </row>
    <row r="332" spans="1:12" ht="20.100000000000001" customHeight="1" x14ac:dyDescent="0.25">
      <c r="A332" s="396"/>
      <c r="B332" s="382"/>
      <c r="D332" s="369"/>
      <c r="F332" s="382"/>
      <c r="K332" s="400"/>
      <c r="L332" s="369"/>
    </row>
    <row r="333" spans="1:12" ht="20.100000000000001" customHeight="1" x14ac:dyDescent="0.25">
      <c r="A333" s="396"/>
      <c r="B333" s="382"/>
      <c r="D333" s="369"/>
      <c r="F333" s="382"/>
      <c r="K333" s="400"/>
      <c r="L333" s="369"/>
    </row>
    <row r="334" spans="1:12" ht="20.100000000000001" customHeight="1" x14ac:dyDescent="0.25">
      <c r="A334" s="396"/>
      <c r="B334" s="382"/>
      <c r="D334" s="369"/>
      <c r="F334" s="382"/>
      <c r="K334" s="400"/>
      <c r="L334" s="369"/>
    </row>
    <row r="335" spans="1:12" ht="20.100000000000001" customHeight="1" x14ac:dyDescent="0.25">
      <c r="A335" s="396"/>
      <c r="B335" s="382"/>
      <c r="D335" s="369"/>
      <c r="F335" s="382"/>
      <c r="K335" s="400"/>
      <c r="L335" s="369"/>
    </row>
    <row r="336" spans="1:12" ht="20.100000000000001" customHeight="1" x14ac:dyDescent="0.25">
      <c r="A336" s="396"/>
      <c r="B336" s="382"/>
      <c r="D336" s="369"/>
      <c r="F336" s="382"/>
      <c r="K336" s="400"/>
      <c r="L336" s="369"/>
    </row>
    <row r="337" spans="1:12" ht="20.100000000000001" customHeight="1" x14ac:dyDescent="0.25">
      <c r="A337" s="396"/>
      <c r="B337" s="382"/>
      <c r="D337" s="369"/>
      <c r="F337" s="382"/>
      <c r="K337" s="400"/>
      <c r="L337" s="369"/>
    </row>
    <row r="338" spans="1:12" ht="20.100000000000001" customHeight="1" x14ac:dyDescent="0.25">
      <c r="A338" s="396"/>
      <c r="B338" s="382"/>
      <c r="D338" s="369"/>
      <c r="F338" s="382"/>
      <c r="K338" s="400"/>
      <c r="L338" s="369"/>
    </row>
    <row r="339" spans="1:12" ht="20.100000000000001" customHeight="1" x14ac:dyDescent="0.25">
      <c r="A339" s="396"/>
      <c r="B339" s="382"/>
      <c r="D339" s="369"/>
      <c r="F339" s="382"/>
      <c r="K339" s="400"/>
      <c r="L339" s="369"/>
    </row>
    <row r="340" spans="1:12" ht="20.100000000000001" customHeight="1" x14ac:dyDescent="0.25">
      <c r="A340" s="396"/>
      <c r="B340" s="382"/>
      <c r="D340" s="369"/>
      <c r="F340" s="382"/>
      <c r="K340" s="400"/>
      <c r="L340" s="369"/>
    </row>
    <row r="341" spans="1:12" ht="20.100000000000001" customHeight="1" x14ac:dyDescent="0.25">
      <c r="A341" s="396"/>
      <c r="B341" s="382"/>
      <c r="D341" s="369"/>
      <c r="F341" s="382"/>
      <c r="K341" s="400"/>
      <c r="L341" s="369"/>
    </row>
    <row r="342" spans="1:12" ht="20.100000000000001" customHeight="1" x14ac:dyDescent="0.25">
      <c r="A342" s="396"/>
      <c r="B342" s="382"/>
      <c r="D342" s="369"/>
      <c r="F342" s="382"/>
      <c r="K342" s="400"/>
      <c r="L342" s="369"/>
    </row>
    <row r="343" spans="1:12" ht="20.100000000000001" customHeight="1" x14ac:dyDescent="0.25">
      <c r="A343" s="396"/>
      <c r="B343" s="382"/>
      <c r="D343" s="369"/>
      <c r="F343" s="382"/>
      <c r="K343" s="400"/>
      <c r="L343" s="369"/>
    </row>
    <row r="344" spans="1:12" ht="20.100000000000001" customHeight="1" x14ac:dyDescent="0.25">
      <c r="A344" s="396"/>
      <c r="B344" s="382"/>
      <c r="D344" s="369"/>
      <c r="F344" s="382"/>
      <c r="K344" s="400"/>
      <c r="L344" s="369"/>
    </row>
    <row r="345" spans="1:12" ht="20.100000000000001" customHeight="1" x14ac:dyDescent="0.25">
      <c r="A345" s="396"/>
      <c r="B345" s="382"/>
      <c r="D345" s="369"/>
      <c r="F345" s="382"/>
      <c r="K345" s="400"/>
      <c r="L345" s="369"/>
    </row>
    <row r="346" spans="1:12" ht="20.100000000000001" customHeight="1" x14ac:dyDescent="0.25">
      <c r="A346" s="396"/>
      <c r="B346" s="382"/>
      <c r="D346" s="369"/>
      <c r="F346" s="382"/>
      <c r="K346" s="400"/>
      <c r="L346" s="369"/>
    </row>
    <row r="347" spans="1:12" ht="20.100000000000001" customHeight="1" x14ac:dyDescent="0.25">
      <c r="A347" s="396"/>
      <c r="B347" s="382"/>
      <c r="D347" s="369"/>
      <c r="F347" s="382"/>
    </row>
  </sheetData>
  <mergeCells count="6">
    <mergeCell ref="A1:F1"/>
    <mergeCell ref="A19:A20"/>
    <mergeCell ref="A38:A39"/>
    <mergeCell ref="A86:A87"/>
    <mergeCell ref="A3:A4"/>
    <mergeCell ref="A10:A11"/>
  </mergeCells>
  <pageMargins left="0.70866141732283472" right="0.70866141732283472" top="0.74803149606299213" bottom="1.3385826771653544" header="0.31496062992125984" footer="0.31496062992125984"/>
  <pageSetup firstPageNumber="0" orientation="portrait" horizontalDpi="300" verticalDpi="300" r:id="rId1"/>
  <headerFooter alignWithMargins="0">
    <oddFooter>&amp;C&amp;"Times New Roman,Normal"Página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7">
    <tabColor rgb="FFFF0000"/>
  </sheetPr>
  <dimension ref="A1:Q104"/>
  <sheetViews>
    <sheetView showGridLines="0" zoomScale="115" zoomScaleNormal="115" workbookViewId="0">
      <selection activeCell="L66" sqref="L66"/>
    </sheetView>
  </sheetViews>
  <sheetFormatPr baseColWidth="10" defaultRowHeight="20.100000000000001" customHeight="1" x14ac:dyDescent="0.25"/>
  <cols>
    <col min="1" max="1" width="33.109375" style="360" bestFit="1" customWidth="1"/>
    <col min="2" max="2" width="1.77734375" style="346" customWidth="1"/>
    <col min="3" max="3" width="11.5546875" style="360" customWidth="1"/>
    <col min="4" max="4" width="6.33203125" style="360" customWidth="1"/>
    <col min="5" max="5" width="4.21875" style="360" hidden="1" customWidth="1"/>
    <col min="6" max="6" width="11.77734375" style="372" hidden="1" customWidth="1"/>
    <col min="7" max="7" width="6.33203125" style="360" hidden="1" customWidth="1"/>
    <col min="8" max="8" width="1.77734375" style="360" hidden="1" customWidth="1"/>
    <col min="9" max="9" width="12.21875" style="360" hidden="1" customWidth="1"/>
    <col min="10" max="10" width="8.33203125" style="360" hidden="1" customWidth="1"/>
    <col min="11" max="11" width="3.21875" style="360" customWidth="1"/>
    <col min="12" max="12" width="11.5546875" style="360"/>
    <col min="13" max="18" width="0" style="360" hidden="1" customWidth="1"/>
    <col min="19" max="16384" width="11.5546875" style="360"/>
  </cols>
  <sheetData>
    <row r="1" spans="1:17" ht="15.75" customHeight="1" x14ac:dyDescent="0.25">
      <c r="A1" s="350" t="s">
        <v>116</v>
      </c>
      <c r="C1" s="346" t="s">
        <v>116</v>
      </c>
      <c r="D1" s="346"/>
      <c r="E1" s="346"/>
      <c r="F1" s="346"/>
      <c r="G1" s="346"/>
      <c r="H1" s="346"/>
      <c r="I1" s="346"/>
      <c r="J1" s="346"/>
    </row>
    <row r="2" spans="1:17" ht="15.75" customHeight="1" x14ac:dyDescent="0.25">
      <c r="A2" s="350" t="s">
        <v>449</v>
      </c>
      <c r="C2" s="346" t="s">
        <v>449</v>
      </c>
      <c r="D2" s="346"/>
      <c r="E2" s="346"/>
      <c r="F2" s="346"/>
      <c r="G2" s="346"/>
      <c r="H2" s="346"/>
      <c r="I2" s="346"/>
      <c r="J2" s="346"/>
    </row>
    <row r="3" spans="1:17" ht="15.75" customHeight="1" x14ac:dyDescent="0.25">
      <c r="A3" s="350" t="s">
        <v>645</v>
      </c>
      <c r="C3" s="346" t="s">
        <v>681</v>
      </c>
      <c r="D3" s="346"/>
      <c r="E3" s="346"/>
      <c r="F3" s="346"/>
      <c r="G3" s="346"/>
      <c r="H3" s="346"/>
      <c r="I3" s="346"/>
      <c r="J3" s="346"/>
    </row>
    <row r="4" spans="1:17" ht="14.25" x14ac:dyDescent="0.25">
      <c r="A4" s="352"/>
      <c r="C4" s="348"/>
      <c r="D4" s="352"/>
      <c r="E4" s="352"/>
      <c r="F4" s="373"/>
      <c r="G4" s="352"/>
      <c r="H4" s="352"/>
      <c r="I4" s="352"/>
      <c r="J4" s="352"/>
    </row>
    <row r="5" spans="1:17" ht="14.25" x14ac:dyDescent="0.25">
      <c r="A5" s="352"/>
      <c r="C5" s="348"/>
      <c r="D5" s="352"/>
      <c r="E5" s="352"/>
      <c r="F5" s="373"/>
      <c r="G5" s="352"/>
      <c r="H5" s="352"/>
      <c r="I5" s="352"/>
      <c r="J5" s="352"/>
    </row>
    <row r="6" spans="1:17" ht="14.25" x14ac:dyDescent="0.25">
      <c r="A6" s="352"/>
      <c r="C6" s="348"/>
      <c r="D6" s="352"/>
      <c r="E6" s="352"/>
      <c r="F6" s="373"/>
      <c r="G6" s="352"/>
      <c r="H6" s="352"/>
      <c r="I6" s="352"/>
      <c r="J6" s="352"/>
    </row>
    <row r="7" spans="1:17" ht="14.25" x14ac:dyDescent="0.25">
      <c r="A7" s="1200" t="s">
        <v>218</v>
      </c>
      <c r="C7" s="350" t="s">
        <v>686</v>
      </c>
      <c r="D7" s="357"/>
      <c r="E7" s="357"/>
      <c r="F7" s="350"/>
      <c r="G7" s="357"/>
      <c r="H7" s="357"/>
      <c r="I7" s="356"/>
      <c r="J7" s="356"/>
      <c r="L7" s="350" t="s">
        <v>685</v>
      </c>
    </row>
    <row r="8" spans="1:17" ht="14.25" x14ac:dyDescent="0.25">
      <c r="A8" s="1200"/>
      <c r="C8" s="383">
        <v>2014</v>
      </c>
      <c r="D8" s="384" t="s">
        <v>400</v>
      </c>
      <c r="E8" s="356"/>
      <c r="F8" s="383">
        <v>2013</v>
      </c>
      <c r="G8" s="384" t="s">
        <v>400</v>
      </c>
      <c r="H8" s="356"/>
      <c r="I8" s="383" t="s">
        <v>392</v>
      </c>
      <c r="J8" s="384" t="s">
        <v>393</v>
      </c>
      <c r="L8" s="383">
        <v>2014</v>
      </c>
      <c r="N8" s="1254" t="s">
        <v>689</v>
      </c>
      <c r="O8" s="1254"/>
      <c r="P8" s="1254"/>
      <c r="Q8" s="1254"/>
    </row>
    <row r="9" spans="1:17" ht="14.25" x14ac:dyDescent="0.25">
      <c r="A9" s="361" t="s">
        <v>387</v>
      </c>
      <c r="C9" s="477">
        <v>2316541328.868206</v>
      </c>
      <c r="D9" s="362">
        <f>+C9/$C$11</f>
        <v>1</v>
      </c>
      <c r="E9" s="356"/>
      <c r="F9" s="478">
        <v>2027000000</v>
      </c>
      <c r="G9" s="362">
        <f>+F9/$F$11</f>
        <v>0.99387884885457278</v>
      </c>
      <c r="H9" s="356"/>
      <c r="I9" s="364">
        <f>C9-F9</f>
        <v>289541328.86820602</v>
      </c>
      <c r="J9" s="365">
        <f>I9/F9</f>
        <v>0.14284229347222793</v>
      </c>
      <c r="L9" s="477">
        <f>(C9/12)*12</f>
        <v>2316541328.868206</v>
      </c>
      <c r="N9" s="1254"/>
      <c r="O9" s="1254"/>
      <c r="P9" s="1254"/>
      <c r="Q9" s="1254"/>
    </row>
    <row r="10" spans="1:17" ht="14.25" x14ac:dyDescent="0.25">
      <c r="A10" s="369" t="s">
        <v>649</v>
      </c>
      <c r="C10" s="325"/>
      <c r="D10" s="362"/>
      <c r="E10" s="356"/>
      <c r="F10" s="363">
        <v>12483989.76</v>
      </c>
      <c r="G10" s="362"/>
      <c r="H10" s="356"/>
      <c r="I10" s="364">
        <f>C10-F10</f>
        <v>-12483989.76</v>
      </c>
      <c r="J10" s="365">
        <f>I10/F10</f>
        <v>-1</v>
      </c>
      <c r="L10" s="477">
        <f>(C10/12)*6</f>
        <v>0</v>
      </c>
      <c r="N10" s="1254"/>
      <c r="O10" s="1254"/>
      <c r="P10" s="1254"/>
      <c r="Q10" s="1254"/>
    </row>
    <row r="11" spans="1:17" ht="14.25" x14ac:dyDescent="0.25">
      <c r="A11" s="321" t="s">
        <v>401</v>
      </c>
      <c r="C11" s="313">
        <f>SUM(C9:C10)</f>
        <v>2316541328.868206</v>
      </c>
      <c r="D11" s="366">
        <f>+C11/C11</f>
        <v>1</v>
      </c>
      <c r="E11" s="356"/>
      <c r="F11" s="313">
        <f>SUM(F9:F10)</f>
        <v>2039483989.76</v>
      </c>
      <c r="G11" s="366">
        <f>+F11/F11</f>
        <v>1</v>
      </c>
      <c r="H11" s="356"/>
      <c r="I11" s="313">
        <f>SUM(I9:I9)</f>
        <v>289541328.86820602</v>
      </c>
      <c r="J11" s="326">
        <f>IF(F11&lt;&gt;0,I11/F11,0)</f>
        <v>0.14196793420392495</v>
      </c>
      <c r="L11" s="313">
        <f>SUM(L9:L10)</f>
        <v>2316541328.868206</v>
      </c>
    </row>
    <row r="12" spans="1:17" ht="14.25" x14ac:dyDescent="0.25">
      <c r="A12" s="296"/>
      <c r="C12" s="298"/>
      <c r="D12" s="374"/>
      <c r="E12" s="356"/>
      <c r="F12" s="298"/>
      <c r="G12" s="374"/>
      <c r="H12" s="356"/>
      <c r="I12" s="298"/>
      <c r="J12" s="304"/>
      <c r="L12" s="298"/>
    </row>
    <row r="13" spans="1:17" ht="14.25" x14ac:dyDescent="0.25">
      <c r="A13" s="300"/>
      <c r="C13" s="301"/>
      <c r="D13" s="307"/>
      <c r="E13" s="356"/>
      <c r="F13" s="301"/>
      <c r="G13" s="307"/>
      <c r="H13" s="356"/>
      <c r="I13" s="301"/>
      <c r="J13" s="301"/>
      <c r="L13" s="301"/>
    </row>
    <row r="14" spans="1:17" ht="14.25" x14ac:dyDescent="0.25">
      <c r="A14" s="1200" t="s">
        <v>222</v>
      </c>
      <c r="C14" s="294"/>
      <c r="D14" s="308"/>
      <c r="E14" s="356"/>
      <c r="F14" s="294"/>
      <c r="G14" s="308"/>
      <c r="H14" s="356"/>
      <c r="I14" s="332"/>
      <c r="J14" s="332"/>
      <c r="L14" s="294"/>
    </row>
    <row r="15" spans="1:17" ht="14.25" x14ac:dyDescent="0.25">
      <c r="A15" s="1200"/>
      <c r="C15" s="383">
        <f>C8</f>
        <v>2014</v>
      </c>
      <c r="D15" s="384" t="s">
        <v>400</v>
      </c>
      <c r="E15" s="356"/>
      <c r="F15" s="383">
        <f>F8</f>
        <v>2013</v>
      </c>
      <c r="G15" s="384" t="s">
        <v>400</v>
      </c>
      <c r="H15" s="356"/>
      <c r="I15" s="383" t="s">
        <v>392</v>
      </c>
      <c r="J15" s="384" t="s">
        <v>393</v>
      </c>
      <c r="L15" s="383">
        <f>L8</f>
        <v>2014</v>
      </c>
    </row>
    <row r="16" spans="1:17" ht="14.25" x14ac:dyDescent="0.25">
      <c r="A16" s="312" t="s">
        <v>388</v>
      </c>
      <c r="C16" s="325">
        <v>357845102</v>
      </c>
      <c r="D16" s="317">
        <f>+C16/$C$11</f>
        <v>0.15447386909985872</v>
      </c>
      <c r="E16" s="356"/>
      <c r="F16" s="364">
        <v>258000000</v>
      </c>
      <c r="G16" s="317">
        <f>+F16/$F$11</f>
        <v>0.12650258658336447</v>
      </c>
      <c r="H16" s="356"/>
      <c r="I16" s="364">
        <f>C16-F16</f>
        <v>99845102</v>
      </c>
      <c r="J16" s="365">
        <f>I16/F16</f>
        <v>0.38699651937984497</v>
      </c>
      <c r="L16" s="477">
        <f>(C16/12)*12</f>
        <v>357845102</v>
      </c>
    </row>
    <row r="17" spans="1:12" ht="14.25" x14ac:dyDescent="0.25">
      <c r="A17" s="312" t="s">
        <v>54</v>
      </c>
      <c r="C17" s="325">
        <v>162543463</v>
      </c>
      <c r="D17" s="317">
        <f>+C17/$C$11</f>
        <v>7.0166442089515391E-2</v>
      </c>
      <c r="E17" s="356"/>
      <c r="F17" s="364">
        <v>186758456.49308684</v>
      </c>
      <c r="G17" s="317">
        <f>+F17/$F$11</f>
        <v>9.1571425630590009E-2</v>
      </c>
      <c r="H17" s="356"/>
      <c r="I17" s="364">
        <f>C17-F17</f>
        <v>-24214993.493086845</v>
      </c>
      <c r="J17" s="365">
        <f>I17/F17</f>
        <v>-0.12965942184247597</v>
      </c>
      <c r="L17" s="477">
        <f>(C17/12)*12</f>
        <v>162543463</v>
      </c>
    </row>
    <row r="18" spans="1:12" ht="14.25" x14ac:dyDescent="0.25">
      <c r="A18" s="312" t="s">
        <v>389</v>
      </c>
      <c r="C18" s="325">
        <f>149557988+110511410</f>
        <v>260069398</v>
      </c>
      <c r="D18" s="317">
        <f>+C18/$C$11</f>
        <v>0.11226624569960177</v>
      </c>
      <c r="E18" s="356"/>
      <c r="F18" s="364">
        <v>215000000</v>
      </c>
      <c r="G18" s="317">
        <f>+F18/$F$11</f>
        <v>0.10541882215280372</v>
      </c>
      <c r="H18" s="356"/>
      <c r="I18" s="364">
        <f>C18-F18</f>
        <v>45069398</v>
      </c>
      <c r="J18" s="365">
        <f>I18/F18</f>
        <v>0.20962510697674419</v>
      </c>
      <c r="L18" s="477">
        <f>(C18/12)*12</f>
        <v>260069398</v>
      </c>
    </row>
    <row r="19" spans="1:12" ht="14.25" x14ac:dyDescent="0.25">
      <c r="A19" s="321" t="s">
        <v>402</v>
      </c>
      <c r="C19" s="313">
        <f>SUM(C16:C18)</f>
        <v>780457963</v>
      </c>
      <c r="D19" s="314">
        <f>+C19/$C$11</f>
        <v>0.33690655688897586</v>
      </c>
      <c r="E19" s="356"/>
      <c r="F19" s="313">
        <f>SUM(F16:F18)</f>
        <v>659758456.49308681</v>
      </c>
      <c r="G19" s="314">
        <f>+F19/$F$11</f>
        <v>0.32349283436675819</v>
      </c>
      <c r="H19" s="356"/>
      <c r="I19" s="313">
        <f>C19-F19</f>
        <v>120699506.50691319</v>
      </c>
      <c r="J19" s="326">
        <f>I19/F19</f>
        <v>0.18294499345788667</v>
      </c>
      <c r="L19" s="313">
        <f>SUM(L16:L18)</f>
        <v>780457963</v>
      </c>
    </row>
    <row r="20" spans="1:12" ht="14.25" x14ac:dyDescent="0.25">
      <c r="A20" s="321" t="s">
        <v>397</v>
      </c>
      <c r="C20" s="313">
        <f>+C11-C19</f>
        <v>1536083365.868206</v>
      </c>
      <c r="D20" s="314">
        <f>+C20/$C$11</f>
        <v>0.66309344311102414</v>
      </c>
      <c r="E20" s="356"/>
      <c r="F20" s="313">
        <f>+F11-F19</f>
        <v>1379725533.2669132</v>
      </c>
      <c r="G20" s="314">
        <f>+F20/$F$11</f>
        <v>0.67650716563324187</v>
      </c>
      <c r="H20" s="356"/>
      <c r="I20" s="313">
        <f>C20-F20</f>
        <v>156357832.60129285</v>
      </c>
      <c r="J20" s="316">
        <f>I20/F20</f>
        <v>0.11332531639902965</v>
      </c>
      <c r="L20" s="313">
        <f>+L11-L19</f>
        <v>1536083365.868206</v>
      </c>
    </row>
    <row r="21" spans="1:12" ht="14.25" x14ac:dyDescent="0.25">
      <c r="A21" s="296"/>
      <c r="C21" s="298"/>
      <c r="D21" s="297"/>
      <c r="E21" s="356"/>
      <c r="F21" s="298"/>
      <c r="G21" s="297"/>
      <c r="H21" s="356"/>
      <c r="I21" s="298"/>
      <c r="J21" s="299"/>
      <c r="L21" s="298"/>
    </row>
    <row r="22" spans="1:12" ht="14.25" x14ac:dyDescent="0.25">
      <c r="A22" s="296"/>
      <c r="C22" s="298"/>
      <c r="D22" s="297"/>
      <c r="E22" s="356"/>
      <c r="F22" s="298"/>
      <c r="G22" s="297"/>
      <c r="H22" s="356"/>
      <c r="I22" s="298"/>
      <c r="J22" s="302"/>
      <c r="L22" s="298"/>
    </row>
    <row r="23" spans="1:12" ht="14.25" x14ac:dyDescent="0.25">
      <c r="A23" s="1200" t="s">
        <v>224</v>
      </c>
      <c r="C23" s="350"/>
      <c r="D23" s="357"/>
      <c r="E23" s="356"/>
      <c r="F23" s="350"/>
      <c r="G23" s="357"/>
      <c r="H23" s="356"/>
      <c r="I23" s="356"/>
      <c r="J23" s="356"/>
      <c r="L23" s="350"/>
    </row>
    <row r="24" spans="1:12" ht="14.25" x14ac:dyDescent="0.25">
      <c r="A24" s="1200"/>
      <c r="C24" s="383">
        <f>C15</f>
        <v>2014</v>
      </c>
      <c r="D24" s="384" t="s">
        <v>400</v>
      </c>
      <c r="E24" s="356"/>
      <c r="F24" s="383">
        <f>F15</f>
        <v>2013</v>
      </c>
      <c r="G24" s="384" t="s">
        <v>400</v>
      </c>
      <c r="H24" s="356"/>
      <c r="I24" s="383" t="s">
        <v>392</v>
      </c>
      <c r="J24" s="384" t="s">
        <v>393</v>
      </c>
      <c r="L24" s="383">
        <f>L15</f>
        <v>2014</v>
      </c>
    </row>
    <row r="25" spans="1:12" ht="14.25" x14ac:dyDescent="0.25">
      <c r="A25" s="361" t="s">
        <v>60</v>
      </c>
      <c r="C25" s="364">
        <v>284988900</v>
      </c>
      <c r="D25" s="367">
        <f t="shared" ref="D25:D38" si="0">+C25/$C$11</f>
        <v>0.12302344726102392</v>
      </c>
      <c r="E25" s="356"/>
      <c r="F25" s="325">
        <v>248097000</v>
      </c>
      <c r="G25" s="367">
        <f t="shared" ref="G25:G38" si="1">+F25/$F$11</f>
        <v>0.12164694660299602</v>
      </c>
      <c r="H25" s="356"/>
      <c r="I25" s="364">
        <f t="shared" ref="I25:I38" si="2">C25-F25</f>
        <v>36891900</v>
      </c>
      <c r="J25" s="365">
        <f t="shared" ref="J25:J38" si="3">I25/F25</f>
        <v>0.14869950059855622</v>
      </c>
      <c r="L25" s="477">
        <f>(C25/12)*12</f>
        <v>284988900</v>
      </c>
    </row>
    <row r="26" spans="1:12" ht="14.25" x14ac:dyDescent="0.25">
      <c r="A26" s="361" t="s">
        <v>61</v>
      </c>
      <c r="C26" s="364">
        <v>3384000</v>
      </c>
      <c r="D26" s="367">
        <f t="shared" si="0"/>
        <v>1.4607984575234507E-3</v>
      </c>
      <c r="E26" s="356"/>
      <c r="F26" s="325">
        <v>4230000</v>
      </c>
      <c r="G26" s="367">
        <f t="shared" si="1"/>
        <v>2.0740540358435335E-3</v>
      </c>
      <c r="H26" s="356"/>
      <c r="I26" s="364">
        <f t="shared" si="2"/>
        <v>-846000</v>
      </c>
      <c r="J26" s="365">
        <f t="shared" si="3"/>
        <v>-0.2</v>
      </c>
      <c r="L26" s="477">
        <f t="shared" ref="L26:L38" si="4">(C26/12)*12</f>
        <v>3384000</v>
      </c>
    </row>
    <row r="27" spans="1:12" ht="14.25" x14ac:dyDescent="0.25">
      <c r="A27" s="361" t="s">
        <v>62</v>
      </c>
      <c r="C27" s="364">
        <v>23971065</v>
      </c>
      <c r="D27" s="367">
        <f t="shared" si="0"/>
        <v>1.0347782144560986E-2</v>
      </c>
      <c r="E27" s="356"/>
      <c r="F27" s="325">
        <v>21027250</v>
      </c>
      <c r="G27" s="367">
        <f t="shared" si="1"/>
        <v>1.0310083386569963E-2</v>
      </c>
      <c r="H27" s="356"/>
      <c r="I27" s="364">
        <f t="shared" si="2"/>
        <v>2943815</v>
      </c>
      <c r="J27" s="365">
        <f t="shared" si="3"/>
        <v>0.14000000000000001</v>
      </c>
      <c r="L27" s="477">
        <f t="shared" si="4"/>
        <v>23971065</v>
      </c>
    </row>
    <row r="28" spans="1:12" ht="14.25" x14ac:dyDescent="0.25">
      <c r="A28" s="361" t="s">
        <v>63</v>
      </c>
      <c r="C28" s="364">
        <v>2943739</v>
      </c>
      <c r="D28" s="367">
        <f t="shared" si="0"/>
        <v>1.2707474558367687E-3</v>
      </c>
      <c r="E28" s="356"/>
      <c r="F28" s="325">
        <v>2523270</v>
      </c>
      <c r="G28" s="367">
        <f t="shared" si="1"/>
        <v>1.2372100063883955E-3</v>
      </c>
      <c r="H28" s="356"/>
      <c r="I28" s="364">
        <f t="shared" si="2"/>
        <v>420469</v>
      </c>
      <c r="J28" s="365">
        <f t="shared" si="3"/>
        <v>0.16663654702033473</v>
      </c>
      <c r="L28" s="477">
        <f t="shared" si="4"/>
        <v>2943739</v>
      </c>
    </row>
    <row r="29" spans="1:12" ht="14.25" x14ac:dyDescent="0.25">
      <c r="A29" s="361" t="s">
        <v>64</v>
      </c>
      <c r="C29" s="364">
        <v>25574260</v>
      </c>
      <c r="D29" s="367">
        <f t="shared" si="0"/>
        <v>1.1039846205763499E-2</v>
      </c>
      <c r="E29" s="356"/>
      <c r="F29" s="325">
        <v>22234750</v>
      </c>
      <c r="G29" s="367">
        <f t="shared" si="1"/>
        <v>1.0902144910986291E-2</v>
      </c>
      <c r="H29" s="356"/>
      <c r="I29" s="364">
        <f t="shared" si="2"/>
        <v>3339510</v>
      </c>
      <c r="J29" s="365">
        <f t="shared" si="3"/>
        <v>0.15019327853922351</v>
      </c>
      <c r="L29" s="477">
        <f t="shared" si="4"/>
        <v>25574260</v>
      </c>
    </row>
    <row r="30" spans="1:12" ht="14.25" x14ac:dyDescent="0.25">
      <c r="A30" s="361" t="s">
        <v>65</v>
      </c>
      <c r="C30" s="364">
        <v>13177430</v>
      </c>
      <c r="D30" s="367">
        <f t="shared" si="0"/>
        <v>5.688407038452495E-3</v>
      </c>
      <c r="E30" s="356"/>
      <c r="F30" s="325">
        <v>11472425</v>
      </c>
      <c r="G30" s="367">
        <f t="shared" si="1"/>
        <v>5.625160608076182E-3</v>
      </c>
      <c r="H30" s="356"/>
      <c r="I30" s="364">
        <f t="shared" si="2"/>
        <v>1705005</v>
      </c>
      <c r="J30" s="365">
        <f t="shared" si="3"/>
        <v>0.14861766365872953</v>
      </c>
      <c r="L30" s="477">
        <f t="shared" si="4"/>
        <v>13177430</v>
      </c>
    </row>
    <row r="31" spans="1:12" ht="14.25" x14ac:dyDescent="0.25">
      <c r="A31" s="361" t="s">
        <v>66</v>
      </c>
      <c r="C31" s="364">
        <v>59687544</v>
      </c>
      <c r="D31" s="367">
        <f t="shared" si="0"/>
        <v>2.5765801480071834E-2</v>
      </c>
      <c r="E31" s="356"/>
      <c r="F31" s="325">
        <v>55424148</v>
      </c>
      <c r="G31" s="367">
        <f t="shared" si="1"/>
        <v>2.7175573958058939E-2</v>
      </c>
      <c r="H31" s="356"/>
      <c r="I31" s="364">
        <f t="shared" si="2"/>
        <v>4263396</v>
      </c>
      <c r="J31" s="365">
        <f t="shared" si="3"/>
        <v>7.6923076923076927E-2</v>
      </c>
      <c r="L31" s="477">
        <f t="shared" si="4"/>
        <v>59687544</v>
      </c>
    </row>
    <row r="32" spans="1:12" ht="14.25" x14ac:dyDescent="0.25">
      <c r="A32" s="361" t="s">
        <v>67</v>
      </c>
      <c r="C32" s="364">
        <v>23749075</v>
      </c>
      <c r="D32" s="367">
        <f t="shared" si="0"/>
        <v>1.025195393841866E-2</v>
      </c>
      <c r="E32" s="356"/>
      <c r="F32" s="325">
        <v>20674750</v>
      </c>
      <c r="G32" s="367">
        <f t="shared" si="1"/>
        <v>1.0137245550249668E-2</v>
      </c>
      <c r="H32" s="356"/>
      <c r="I32" s="364">
        <f t="shared" si="2"/>
        <v>3074325</v>
      </c>
      <c r="J32" s="365">
        <v>0</v>
      </c>
      <c r="L32" s="477">
        <f t="shared" si="4"/>
        <v>23749075</v>
      </c>
    </row>
    <row r="33" spans="1:12" ht="14.25" x14ac:dyDescent="0.25">
      <c r="A33" s="361" t="s">
        <v>68</v>
      </c>
      <c r="C33" s="364">
        <v>9240012</v>
      </c>
      <c r="D33" s="367">
        <f t="shared" si="0"/>
        <v>3.9887101882677819E-3</v>
      </c>
      <c r="E33" s="356"/>
      <c r="F33" s="325">
        <v>8580000</v>
      </c>
      <c r="G33" s="367">
        <f t="shared" si="1"/>
        <v>4.2069464840514227E-3</v>
      </c>
      <c r="H33" s="356"/>
      <c r="I33" s="364">
        <f t="shared" si="2"/>
        <v>660012</v>
      </c>
      <c r="J33" s="365">
        <v>0</v>
      </c>
      <c r="L33" s="477">
        <f t="shared" si="4"/>
        <v>9240012</v>
      </c>
    </row>
    <row r="34" spans="1:12" ht="14.25" x14ac:dyDescent="0.25">
      <c r="A34" s="361" t="s">
        <v>69</v>
      </c>
      <c r="C34" s="364">
        <v>9744000</v>
      </c>
      <c r="D34" s="367">
        <f t="shared" si="0"/>
        <v>4.2062707358476665E-3</v>
      </c>
      <c r="E34" s="356"/>
      <c r="F34" s="325">
        <v>9048000</v>
      </c>
      <c r="G34" s="367">
        <f t="shared" si="1"/>
        <v>4.4364162922724097E-3</v>
      </c>
      <c r="H34" s="356"/>
      <c r="I34" s="364">
        <f t="shared" si="2"/>
        <v>696000</v>
      </c>
      <c r="J34" s="365">
        <f t="shared" si="3"/>
        <v>7.6923076923076927E-2</v>
      </c>
      <c r="L34" s="477">
        <f t="shared" si="4"/>
        <v>9744000</v>
      </c>
    </row>
    <row r="35" spans="1:12" ht="14.25" x14ac:dyDescent="0.25">
      <c r="A35" s="361" t="s">
        <v>225</v>
      </c>
      <c r="C35" s="364">
        <v>24224057</v>
      </c>
      <c r="D35" s="367">
        <f t="shared" si="0"/>
        <v>1.0456993233026048E-2</v>
      </c>
      <c r="E35" s="356"/>
      <c r="F35" s="325">
        <v>21088245</v>
      </c>
      <c r="G35" s="367">
        <f t="shared" si="1"/>
        <v>1.0339990461254661E-2</v>
      </c>
      <c r="H35" s="356"/>
      <c r="I35" s="364">
        <f t="shared" si="2"/>
        <v>3135812</v>
      </c>
      <c r="J35" s="365">
        <f t="shared" si="3"/>
        <v>0.14869952430844766</v>
      </c>
      <c r="L35" s="477">
        <f t="shared" si="4"/>
        <v>24224057</v>
      </c>
    </row>
    <row r="36" spans="1:12" ht="14.25" x14ac:dyDescent="0.25">
      <c r="A36" s="361" t="s">
        <v>226</v>
      </c>
      <c r="C36" s="364">
        <v>34198668</v>
      </c>
      <c r="D36" s="367">
        <f t="shared" si="0"/>
        <v>1.476281367132287E-2</v>
      </c>
      <c r="E36" s="356"/>
      <c r="F36" s="325">
        <v>29771640</v>
      </c>
      <c r="G36" s="367">
        <f t="shared" si="1"/>
        <v>1.4597633592359523E-2</v>
      </c>
      <c r="H36" s="356"/>
      <c r="I36" s="364">
        <f t="shared" si="2"/>
        <v>4427028</v>
      </c>
      <c r="J36" s="365">
        <f t="shared" si="3"/>
        <v>0.14869950059855622</v>
      </c>
      <c r="L36" s="477">
        <f t="shared" si="4"/>
        <v>34198668</v>
      </c>
    </row>
    <row r="37" spans="1:12" ht="14.25" x14ac:dyDescent="0.25">
      <c r="A37" s="361" t="s">
        <v>227</v>
      </c>
      <c r="C37" s="364">
        <v>4987935</v>
      </c>
      <c r="D37" s="367">
        <f t="shared" si="0"/>
        <v>2.1531819604690403E-3</v>
      </c>
      <c r="E37" s="356"/>
      <c r="F37" s="325">
        <v>4429573.1999999993</v>
      </c>
      <c r="G37" s="367">
        <f t="shared" si="1"/>
        <v>2.1719087878308168E-3</v>
      </c>
      <c r="H37" s="356"/>
      <c r="I37" s="364">
        <f t="shared" si="2"/>
        <v>558361.80000000075</v>
      </c>
      <c r="J37" s="365">
        <f t="shared" si="3"/>
        <v>0.12605318273101365</v>
      </c>
      <c r="L37" s="477">
        <f t="shared" si="4"/>
        <v>4987935</v>
      </c>
    </row>
    <row r="38" spans="1:12" ht="14.25" x14ac:dyDescent="0.25">
      <c r="A38" s="361" t="s">
        <v>647</v>
      </c>
      <c r="C38" s="364">
        <v>25649001</v>
      </c>
      <c r="D38" s="367">
        <f t="shared" si="0"/>
        <v>1.1072110253492152E-2</v>
      </c>
      <c r="E38" s="356"/>
      <c r="F38" s="325">
        <v>22328730</v>
      </c>
      <c r="G38" s="367">
        <f t="shared" si="1"/>
        <v>1.0948225194269641E-2</v>
      </c>
      <c r="H38" s="356"/>
      <c r="I38" s="364">
        <f t="shared" si="2"/>
        <v>3320271</v>
      </c>
      <c r="J38" s="365">
        <f t="shared" si="3"/>
        <v>0.14869950059855622</v>
      </c>
      <c r="L38" s="477">
        <f t="shared" si="4"/>
        <v>25649001</v>
      </c>
    </row>
    <row r="39" spans="1:12" ht="14.25" x14ac:dyDescent="0.25">
      <c r="A39" s="321" t="s">
        <v>403</v>
      </c>
      <c r="C39" s="313">
        <f>SUM(C25:C38)</f>
        <v>545519686</v>
      </c>
      <c r="D39" s="479">
        <f>C39/$C$11</f>
        <v>0.23548886402407718</v>
      </c>
      <c r="E39" s="356"/>
      <c r="F39" s="313">
        <f>SUM(F25:F38)</f>
        <v>480929781.19999999</v>
      </c>
      <c r="G39" s="479">
        <f>F39/F11</f>
        <v>0.23580953987120745</v>
      </c>
      <c r="H39" s="356"/>
      <c r="I39" s="313">
        <f>C39-F39</f>
        <v>64589904.800000012</v>
      </c>
      <c r="J39" s="326">
        <f>I39/F39</f>
        <v>0.13430215246566229</v>
      </c>
      <c r="L39" s="313">
        <f>SUM(L25:L38)</f>
        <v>545519686</v>
      </c>
    </row>
    <row r="40" spans="1:12" ht="14.25" x14ac:dyDescent="0.25">
      <c r="A40" s="296"/>
      <c r="C40" s="298"/>
      <c r="D40" s="374"/>
      <c r="E40" s="356"/>
      <c r="F40" s="298"/>
      <c r="G40" s="374"/>
      <c r="H40" s="356"/>
      <c r="I40" s="298"/>
      <c r="J40" s="304"/>
      <c r="L40" s="298"/>
    </row>
    <row r="41" spans="1:12" ht="14.25" x14ac:dyDescent="0.25">
      <c r="A41" s="300"/>
      <c r="C41" s="301"/>
      <c r="D41" s="307"/>
      <c r="E41" s="356"/>
      <c r="F41" s="301"/>
      <c r="G41" s="307"/>
      <c r="H41" s="356"/>
      <c r="I41" s="301"/>
      <c r="J41" s="375"/>
      <c r="L41" s="301"/>
    </row>
    <row r="42" spans="1:12" ht="14.25" x14ac:dyDescent="0.25">
      <c r="A42" s="1200" t="s">
        <v>229</v>
      </c>
      <c r="C42" s="294"/>
      <c r="D42" s="308"/>
      <c r="E42" s="356"/>
      <c r="F42" s="294"/>
      <c r="G42" s="308"/>
      <c r="H42" s="356"/>
      <c r="I42" s="332"/>
      <c r="J42" s="332"/>
      <c r="L42" s="294"/>
    </row>
    <row r="43" spans="1:12" ht="14.25" x14ac:dyDescent="0.25">
      <c r="A43" s="1200"/>
      <c r="C43" s="383">
        <f>C24</f>
        <v>2014</v>
      </c>
      <c r="D43" s="384" t="s">
        <v>400</v>
      </c>
      <c r="E43" s="356"/>
      <c r="F43" s="383">
        <f>F24</f>
        <v>2013</v>
      </c>
      <c r="G43" s="384" t="s">
        <v>400</v>
      </c>
      <c r="H43" s="356"/>
      <c r="I43" s="383" t="s">
        <v>392</v>
      </c>
      <c r="J43" s="384" t="s">
        <v>393</v>
      </c>
      <c r="L43" s="383">
        <f>L24</f>
        <v>2014</v>
      </c>
    </row>
    <row r="44" spans="1:12" ht="15.75" customHeight="1" x14ac:dyDescent="0.25">
      <c r="A44" s="368" t="s">
        <v>230</v>
      </c>
      <c r="B44" s="1255"/>
      <c r="C44" s="325">
        <v>7980000</v>
      </c>
      <c r="D44" s="317">
        <f t="shared" ref="D44:D81" si="5">+C44/$C$11</f>
        <v>3.4447906888407614E-3</v>
      </c>
      <c r="E44" s="356"/>
      <c r="F44" s="364">
        <v>7716000</v>
      </c>
      <c r="G44" s="317">
        <f t="shared" ref="G44:G81" si="6">+F44/$F$11</f>
        <v>3.7833099150280628E-3</v>
      </c>
      <c r="H44" s="356"/>
      <c r="I44" s="364">
        <f t="shared" ref="I44:I81" si="7">C44-F44</f>
        <v>264000</v>
      </c>
      <c r="J44" s="365">
        <f t="shared" ref="J44:J85" si="8">I44/F44</f>
        <v>3.4214618973561428E-2</v>
      </c>
      <c r="L44" s="477">
        <f>(C44/12)*12</f>
        <v>7980000</v>
      </c>
    </row>
    <row r="45" spans="1:12" ht="15.75" customHeight="1" x14ac:dyDescent="0.25">
      <c r="A45" s="368" t="s">
        <v>231</v>
      </c>
      <c r="B45" s="1256"/>
      <c r="C45" s="325">
        <v>14628000</v>
      </c>
      <c r="D45" s="317">
        <f t="shared" si="5"/>
        <v>6.3145862401456964E-3</v>
      </c>
      <c r="E45" s="356"/>
      <c r="F45" s="364">
        <v>14148000</v>
      </c>
      <c r="G45" s="317">
        <f t="shared" si="6"/>
        <v>6.9370488177575209E-3</v>
      </c>
      <c r="H45" s="356"/>
      <c r="I45" s="364">
        <f t="shared" si="7"/>
        <v>480000</v>
      </c>
      <c r="J45" s="365">
        <f t="shared" si="8"/>
        <v>3.3927056827820185E-2</v>
      </c>
      <c r="L45" s="477">
        <f t="shared" ref="L45:L83" si="9">(C45/12)*12</f>
        <v>14628000</v>
      </c>
    </row>
    <row r="46" spans="1:12" ht="15.75" customHeight="1" x14ac:dyDescent="0.25">
      <c r="A46" s="368" t="s">
        <v>73</v>
      </c>
      <c r="B46" s="1256"/>
      <c r="C46" s="325">
        <v>4020000</v>
      </c>
      <c r="D46" s="317">
        <f t="shared" si="5"/>
        <v>1.7353456853558722E-3</v>
      </c>
      <c r="E46" s="356"/>
      <c r="F46" s="364">
        <v>3888000</v>
      </c>
      <c r="G46" s="317">
        <f t="shared" si="6"/>
        <v>1.9063645606051203E-3</v>
      </c>
      <c r="H46" s="356"/>
      <c r="I46" s="364">
        <f t="shared" si="7"/>
        <v>132000</v>
      </c>
      <c r="J46" s="365">
        <f t="shared" si="8"/>
        <v>3.3950617283950615E-2</v>
      </c>
      <c r="L46" s="477">
        <f t="shared" si="9"/>
        <v>4020000</v>
      </c>
    </row>
    <row r="47" spans="1:12" ht="15.75" customHeight="1" x14ac:dyDescent="0.25">
      <c r="A47" s="368" t="s">
        <v>643</v>
      </c>
      <c r="B47" s="1256"/>
      <c r="C47" s="325">
        <v>4092000</v>
      </c>
      <c r="D47" s="317">
        <f t="shared" si="5"/>
        <v>1.7664265036010521E-3</v>
      </c>
      <c r="E47" s="356"/>
      <c r="F47" s="364">
        <v>3960000</v>
      </c>
      <c r="G47" s="317">
        <f t="shared" si="6"/>
        <v>1.9416676080237336E-3</v>
      </c>
      <c r="H47" s="356"/>
      <c r="I47" s="364">
        <f t="shared" si="7"/>
        <v>132000</v>
      </c>
      <c r="J47" s="365">
        <v>0</v>
      </c>
      <c r="L47" s="477">
        <f t="shared" si="9"/>
        <v>4092000</v>
      </c>
    </row>
    <row r="48" spans="1:12" ht="15.75" customHeight="1" x14ac:dyDescent="0.25">
      <c r="A48" s="368" t="s">
        <v>493</v>
      </c>
      <c r="B48" s="1256"/>
      <c r="C48" s="325">
        <v>5004000</v>
      </c>
      <c r="D48" s="317">
        <f t="shared" si="5"/>
        <v>2.1601168680399963E-3</v>
      </c>
      <c r="E48" s="356"/>
      <c r="F48" s="364">
        <v>4836000</v>
      </c>
      <c r="G48" s="317">
        <f t="shared" si="6"/>
        <v>2.3711880182835294E-3</v>
      </c>
      <c r="H48" s="356"/>
      <c r="I48" s="364">
        <f t="shared" si="7"/>
        <v>168000</v>
      </c>
      <c r="J48" s="365">
        <f t="shared" si="8"/>
        <v>3.4739454094292806E-2</v>
      </c>
      <c r="L48" s="477">
        <f t="shared" si="9"/>
        <v>5004000</v>
      </c>
    </row>
    <row r="49" spans="1:12" ht="15.75" customHeight="1" x14ac:dyDescent="0.25">
      <c r="A49" s="368" t="s">
        <v>77</v>
      </c>
      <c r="B49" s="1256"/>
      <c r="C49" s="325">
        <v>15204000</v>
      </c>
      <c r="D49" s="317">
        <f t="shared" si="5"/>
        <v>6.5632327861071347E-3</v>
      </c>
      <c r="E49" s="356"/>
      <c r="F49" s="364">
        <v>14700000</v>
      </c>
      <c r="G49" s="317">
        <f t="shared" si="6"/>
        <v>7.2077055146335563E-3</v>
      </c>
      <c r="H49" s="356"/>
      <c r="I49" s="364">
        <f t="shared" si="7"/>
        <v>504000</v>
      </c>
      <c r="J49" s="365">
        <v>0</v>
      </c>
      <c r="L49" s="477">
        <f t="shared" si="9"/>
        <v>15204000</v>
      </c>
    </row>
    <row r="50" spans="1:12" ht="15.75" customHeight="1" x14ac:dyDescent="0.25">
      <c r="A50" s="368" t="s">
        <v>436</v>
      </c>
      <c r="B50" s="1256"/>
      <c r="C50" s="325">
        <v>11892000</v>
      </c>
      <c r="D50" s="317">
        <f t="shared" si="5"/>
        <v>5.1335151468288641E-3</v>
      </c>
      <c r="E50" s="356"/>
      <c r="F50" s="364">
        <v>11496000</v>
      </c>
      <c r="G50" s="317">
        <f t="shared" si="6"/>
        <v>5.6367199045052633E-3</v>
      </c>
      <c r="H50" s="356"/>
      <c r="I50" s="364">
        <f t="shared" si="7"/>
        <v>396000</v>
      </c>
      <c r="J50" s="365">
        <f t="shared" si="8"/>
        <v>3.444676409185804E-2</v>
      </c>
      <c r="L50" s="477">
        <f t="shared" si="9"/>
        <v>11892000</v>
      </c>
    </row>
    <row r="51" spans="1:12" ht="15.75" customHeight="1" x14ac:dyDescent="0.25">
      <c r="A51" s="368" t="s">
        <v>232</v>
      </c>
      <c r="B51" s="1256"/>
      <c r="C51" s="325">
        <v>5064000</v>
      </c>
      <c r="D51" s="317">
        <f t="shared" si="5"/>
        <v>2.1860175499109793E-3</v>
      </c>
      <c r="E51" s="356"/>
      <c r="F51" s="364">
        <v>4900000</v>
      </c>
      <c r="G51" s="317">
        <f t="shared" si="6"/>
        <v>2.4025685048778521E-3</v>
      </c>
      <c r="H51" s="356"/>
      <c r="I51" s="364">
        <f t="shared" si="7"/>
        <v>164000</v>
      </c>
      <c r="J51" s="365">
        <f t="shared" si="8"/>
        <v>3.346938775510204E-2</v>
      </c>
      <c r="L51" s="477">
        <f t="shared" si="9"/>
        <v>5064000</v>
      </c>
    </row>
    <row r="52" spans="1:12" ht="15.75" customHeight="1" x14ac:dyDescent="0.25">
      <c r="A52" s="368" t="s">
        <v>233</v>
      </c>
      <c r="B52" s="1256"/>
      <c r="C52" s="325">
        <v>7236000</v>
      </c>
      <c r="D52" s="317">
        <f t="shared" si="5"/>
        <v>3.1236222336405699E-3</v>
      </c>
      <c r="E52" s="356"/>
      <c r="F52" s="364">
        <v>7000000</v>
      </c>
      <c r="G52" s="317">
        <f t="shared" si="6"/>
        <v>3.4322407212540747E-3</v>
      </c>
      <c r="H52" s="356"/>
      <c r="I52" s="364">
        <f t="shared" si="7"/>
        <v>236000</v>
      </c>
      <c r="J52" s="365">
        <f t="shared" si="8"/>
        <v>3.3714285714285717E-2</v>
      </c>
      <c r="L52" s="477">
        <f t="shared" si="9"/>
        <v>7236000</v>
      </c>
    </row>
    <row r="53" spans="1:12" ht="15.75" customHeight="1" x14ac:dyDescent="0.25">
      <c r="A53" s="368" t="s">
        <v>79</v>
      </c>
      <c r="B53" s="1256"/>
      <c r="C53" s="325">
        <v>18612000</v>
      </c>
      <c r="D53" s="317">
        <f t="shared" si="5"/>
        <v>8.0343915163789779E-3</v>
      </c>
      <c r="E53" s="356"/>
      <c r="F53" s="364">
        <v>18000000</v>
      </c>
      <c r="G53" s="317">
        <f t="shared" si="6"/>
        <v>8.8257618546533339E-3</v>
      </c>
      <c r="H53" s="356"/>
      <c r="I53" s="364">
        <f t="shared" si="7"/>
        <v>612000</v>
      </c>
      <c r="J53" s="365">
        <f t="shared" si="8"/>
        <v>3.4000000000000002E-2</v>
      </c>
      <c r="L53" s="477">
        <f t="shared" si="9"/>
        <v>18612000</v>
      </c>
    </row>
    <row r="54" spans="1:12" ht="15.75" customHeight="1" x14ac:dyDescent="0.25">
      <c r="A54" s="368" t="s">
        <v>234</v>
      </c>
      <c r="B54" s="1256"/>
      <c r="C54" s="325">
        <v>16548000</v>
      </c>
      <c r="D54" s="317">
        <f t="shared" si="5"/>
        <v>7.1434080600171574E-3</v>
      </c>
      <c r="E54" s="356"/>
      <c r="F54" s="364">
        <v>16000000</v>
      </c>
      <c r="G54" s="317">
        <f t="shared" si="6"/>
        <v>7.8451216485807412E-3</v>
      </c>
      <c r="H54" s="356"/>
      <c r="I54" s="364">
        <f t="shared" si="7"/>
        <v>548000</v>
      </c>
      <c r="J54" s="365">
        <f t="shared" si="8"/>
        <v>3.4250000000000003E-2</v>
      </c>
      <c r="L54" s="477">
        <f t="shared" si="9"/>
        <v>16548000</v>
      </c>
    </row>
    <row r="55" spans="1:12" ht="15.75" customHeight="1" x14ac:dyDescent="0.25">
      <c r="A55" s="368" t="s">
        <v>81</v>
      </c>
      <c r="B55" s="1256"/>
      <c r="C55" s="325">
        <v>6828000</v>
      </c>
      <c r="D55" s="317">
        <f t="shared" si="5"/>
        <v>2.9474975969178844E-3</v>
      </c>
      <c r="E55" s="356"/>
      <c r="F55" s="364">
        <v>6600000</v>
      </c>
      <c r="G55" s="317">
        <f t="shared" si="6"/>
        <v>3.2361126800395561E-3</v>
      </c>
      <c r="H55" s="356"/>
      <c r="I55" s="364">
        <f t="shared" si="7"/>
        <v>228000</v>
      </c>
      <c r="J55" s="365">
        <f t="shared" si="8"/>
        <v>3.4545454545454546E-2</v>
      </c>
      <c r="L55" s="477">
        <f t="shared" si="9"/>
        <v>6828000</v>
      </c>
    </row>
    <row r="56" spans="1:12" ht="15.75" customHeight="1" x14ac:dyDescent="0.25">
      <c r="A56" s="368" t="s">
        <v>82</v>
      </c>
      <c r="B56" s="1256"/>
      <c r="C56" s="325">
        <v>5520000</v>
      </c>
      <c r="D56" s="317">
        <f t="shared" si="5"/>
        <v>2.3828627321304512E-3</v>
      </c>
      <c r="E56" s="356"/>
      <c r="F56" s="364">
        <v>5340000</v>
      </c>
      <c r="G56" s="317">
        <f t="shared" si="6"/>
        <v>2.6183093502138224E-3</v>
      </c>
      <c r="H56" s="356"/>
      <c r="I56" s="364">
        <f t="shared" si="7"/>
        <v>180000</v>
      </c>
      <c r="J56" s="365">
        <f t="shared" si="8"/>
        <v>3.3707865168539325E-2</v>
      </c>
      <c r="L56" s="477">
        <f t="shared" si="9"/>
        <v>5520000</v>
      </c>
    </row>
    <row r="57" spans="1:12" ht="15.75" customHeight="1" x14ac:dyDescent="0.25">
      <c r="A57" s="368" t="s">
        <v>83</v>
      </c>
      <c r="B57" s="1256"/>
      <c r="C57" s="325">
        <v>17580000</v>
      </c>
      <c r="D57" s="317">
        <f t="shared" si="5"/>
        <v>7.5888997881980681E-3</v>
      </c>
      <c r="E57" s="356"/>
      <c r="F57" s="364">
        <v>17000000</v>
      </c>
      <c r="G57" s="317">
        <f t="shared" si="6"/>
        <v>8.3354417516170384E-3</v>
      </c>
      <c r="H57" s="356"/>
      <c r="I57" s="364">
        <f t="shared" si="7"/>
        <v>580000</v>
      </c>
      <c r="J57" s="365">
        <v>0</v>
      </c>
      <c r="L57" s="477">
        <f t="shared" si="9"/>
        <v>17580000</v>
      </c>
    </row>
    <row r="58" spans="1:12" ht="15.75" customHeight="1" x14ac:dyDescent="0.25">
      <c r="A58" s="368" t="s">
        <v>84</v>
      </c>
      <c r="B58" s="1256"/>
      <c r="C58" s="325">
        <v>25000000</v>
      </c>
      <c r="D58" s="317">
        <f t="shared" si="5"/>
        <v>1.079195077957632E-2</v>
      </c>
      <c r="E58" s="356"/>
      <c r="F58" s="364">
        <v>24000000</v>
      </c>
      <c r="G58" s="317">
        <f t="shared" si="6"/>
        <v>1.1767682472871114E-2</v>
      </c>
      <c r="H58" s="356"/>
      <c r="I58" s="364">
        <f t="shared" si="7"/>
        <v>1000000</v>
      </c>
      <c r="J58" s="365">
        <f t="shared" si="8"/>
        <v>4.1666666666666664E-2</v>
      </c>
      <c r="L58" s="477">
        <f t="shared" si="9"/>
        <v>25000000</v>
      </c>
    </row>
    <row r="59" spans="1:12" ht="15.75" customHeight="1" x14ac:dyDescent="0.25">
      <c r="A59" s="368" t="s">
        <v>85</v>
      </c>
      <c r="B59" s="1256"/>
      <c r="C59" s="325">
        <v>5400000</v>
      </c>
      <c r="D59" s="317">
        <f t="shared" si="5"/>
        <v>2.3310613683884852E-3</v>
      </c>
      <c r="E59" s="356"/>
      <c r="F59" s="364">
        <v>4356000</v>
      </c>
      <c r="G59" s="317">
        <f t="shared" si="6"/>
        <v>2.1358343688261069E-3</v>
      </c>
      <c r="H59" s="356"/>
      <c r="I59" s="364">
        <f t="shared" si="7"/>
        <v>1044000</v>
      </c>
      <c r="J59" s="365">
        <v>0</v>
      </c>
      <c r="L59" s="477">
        <f t="shared" si="9"/>
        <v>5400000</v>
      </c>
    </row>
    <row r="60" spans="1:12" ht="15.75" customHeight="1" x14ac:dyDescent="0.25">
      <c r="A60" s="368" t="s">
        <v>86</v>
      </c>
      <c r="B60" s="1256"/>
      <c r="C60" s="325">
        <v>17220000</v>
      </c>
      <c r="D60" s="317">
        <f t="shared" si="5"/>
        <v>7.4334956969721692E-3</v>
      </c>
      <c r="E60" s="356"/>
      <c r="F60" s="364">
        <v>16657456</v>
      </c>
      <c r="G60" s="317">
        <f t="shared" si="6"/>
        <v>8.1674855422425724E-3</v>
      </c>
      <c r="H60" s="356"/>
      <c r="I60" s="364">
        <f t="shared" si="7"/>
        <v>562544</v>
      </c>
      <c r="J60" s="365">
        <v>0</v>
      </c>
      <c r="L60" s="477">
        <f t="shared" si="9"/>
        <v>17220000</v>
      </c>
    </row>
    <row r="61" spans="1:12" ht="15.75" customHeight="1" x14ac:dyDescent="0.25">
      <c r="A61" s="368" t="s">
        <v>87</v>
      </c>
      <c r="B61" s="1256"/>
      <c r="C61" s="325">
        <v>21420000</v>
      </c>
      <c r="D61" s="317">
        <f t="shared" si="5"/>
        <v>9.2465434279409911E-3</v>
      </c>
      <c r="E61" s="356"/>
      <c r="F61" s="364">
        <v>20712000</v>
      </c>
      <c r="G61" s="317">
        <f t="shared" si="6"/>
        <v>1.0155509974087771E-2</v>
      </c>
      <c r="H61" s="356"/>
      <c r="I61" s="364">
        <f t="shared" si="7"/>
        <v>708000</v>
      </c>
      <c r="J61" s="365">
        <f t="shared" si="8"/>
        <v>3.4183082271147164E-2</v>
      </c>
      <c r="L61" s="477">
        <f t="shared" si="9"/>
        <v>21420000</v>
      </c>
    </row>
    <row r="62" spans="1:12" ht="15.75" customHeight="1" x14ac:dyDescent="0.25">
      <c r="A62" s="368" t="s">
        <v>235</v>
      </c>
      <c r="B62" s="1256"/>
      <c r="C62" s="325">
        <v>9312000</v>
      </c>
      <c r="D62" s="317">
        <f t="shared" si="5"/>
        <v>4.0197858263765875E-3</v>
      </c>
      <c r="E62" s="356"/>
      <c r="F62" s="364">
        <v>9000000</v>
      </c>
      <c r="G62" s="317">
        <f t="shared" si="6"/>
        <v>4.4128809273266669E-3</v>
      </c>
      <c r="H62" s="356"/>
      <c r="I62" s="364">
        <f t="shared" si="7"/>
        <v>312000</v>
      </c>
      <c r="J62" s="365">
        <v>0</v>
      </c>
      <c r="L62" s="477">
        <f t="shared" si="9"/>
        <v>9312000</v>
      </c>
    </row>
    <row r="63" spans="1:12" ht="15.75" customHeight="1" x14ac:dyDescent="0.25">
      <c r="A63" s="368" t="s">
        <v>88</v>
      </c>
      <c r="B63" s="1256"/>
      <c r="C63" s="325">
        <v>2064000</v>
      </c>
      <c r="D63" s="317">
        <f t="shared" si="5"/>
        <v>8.9098345636182098E-4</v>
      </c>
      <c r="E63" s="356"/>
      <c r="F63" s="364">
        <v>2000000</v>
      </c>
      <c r="G63" s="317">
        <f t="shared" si="6"/>
        <v>9.8064020607259265E-4</v>
      </c>
      <c r="H63" s="356"/>
      <c r="I63" s="364">
        <f t="shared" si="7"/>
        <v>64000</v>
      </c>
      <c r="J63" s="365">
        <f t="shared" si="8"/>
        <v>3.2000000000000001E-2</v>
      </c>
      <c r="L63" s="477">
        <f t="shared" si="9"/>
        <v>2064000</v>
      </c>
    </row>
    <row r="64" spans="1:12" ht="15.75" customHeight="1" x14ac:dyDescent="0.25">
      <c r="A64" s="368" t="s">
        <v>90</v>
      </c>
      <c r="B64" s="1256"/>
      <c r="C64" s="325">
        <v>4752000</v>
      </c>
      <c r="D64" s="317">
        <f t="shared" si="5"/>
        <v>2.0513340041818668E-3</v>
      </c>
      <c r="E64" s="356"/>
      <c r="F64" s="364">
        <v>4596000</v>
      </c>
      <c r="G64" s="317">
        <f t="shared" si="6"/>
        <v>2.2535111935548181E-3</v>
      </c>
      <c r="H64" s="356"/>
      <c r="I64" s="364">
        <f t="shared" si="7"/>
        <v>156000</v>
      </c>
      <c r="J64" s="365">
        <f t="shared" si="8"/>
        <v>3.3942558746736295E-2</v>
      </c>
      <c r="L64" s="477">
        <f t="shared" si="9"/>
        <v>4752000</v>
      </c>
    </row>
    <row r="65" spans="1:12" ht="15.75" customHeight="1" x14ac:dyDescent="0.25">
      <c r="A65" s="368" t="s">
        <v>91</v>
      </c>
      <c r="B65" s="1256"/>
      <c r="C65" s="325">
        <v>16140000</v>
      </c>
      <c r="D65" s="317">
        <f t="shared" si="5"/>
        <v>6.9672834232944719E-3</v>
      </c>
      <c r="E65" s="356"/>
      <c r="F65" s="364">
        <v>15612000</v>
      </c>
      <c r="G65" s="317">
        <f t="shared" si="6"/>
        <v>7.6548774486026585E-3</v>
      </c>
      <c r="H65" s="356"/>
      <c r="I65" s="364">
        <f t="shared" si="7"/>
        <v>528000</v>
      </c>
      <c r="J65" s="365">
        <f t="shared" si="8"/>
        <v>3.3820138355111454E-2</v>
      </c>
      <c r="L65" s="477">
        <f t="shared" si="9"/>
        <v>16140000</v>
      </c>
    </row>
    <row r="66" spans="1:12" ht="15.75" customHeight="1" x14ac:dyDescent="0.25">
      <c r="A66" s="368" t="s">
        <v>438</v>
      </c>
      <c r="B66" s="1256"/>
      <c r="C66" s="325">
        <v>4500000</v>
      </c>
      <c r="D66" s="317">
        <f t="shared" si="5"/>
        <v>1.9425511403237375E-3</v>
      </c>
      <c r="E66" s="356"/>
      <c r="F66" s="364">
        <v>4356000</v>
      </c>
      <c r="G66" s="317">
        <f t="shared" si="6"/>
        <v>2.1358343688261069E-3</v>
      </c>
      <c r="H66" s="356"/>
      <c r="I66" s="364">
        <f t="shared" si="7"/>
        <v>144000</v>
      </c>
      <c r="J66" s="365">
        <f t="shared" si="8"/>
        <v>3.3057851239669422E-2</v>
      </c>
      <c r="L66" s="477">
        <f t="shared" si="9"/>
        <v>4500000</v>
      </c>
    </row>
    <row r="67" spans="1:12" ht="15.75" customHeight="1" x14ac:dyDescent="0.25">
      <c r="A67" s="368" t="s">
        <v>93</v>
      </c>
      <c r="B67" s="1256"/>
      <c r="C67" s="325">
        <v>1752000</v>
      </c>
      <c r="D67" s="317">
        <f t="shared" si="5"/>
        <v>7.5629991063270844E-4</v>
      </c>
      <c r="E67" s="356"/>
      <c r="F67" s="364">
        <v>1700000</v>
      </c>
      <c r="G67" s="317">
        <f t="shared" si="6"/>
        <v>8.335441751617038E-4</v>
      </c>
      <c r="H67" s="356"/>
      <c r="I67" s="364">
        <f t="shared" si="7"/>
        <v>52000</v>
      </c>
      <c r="J67" s="365">
        <v>0</v>
      </c>
      <c r="L67" s="477">
        <f t="shared" si="9"/>
        <v>1752000</v>
      </c>
    </row>
    <row r="68" spans="1:12" ht="15.75" customHeight="1" x14ac:dyDescent="0.25">
      <c r="A68" s="368" t="s">
        <v>236</v>
      </c>
      <c r="B68" s="1256"/>
      <c r="C68" s="325">
        <v>22365018</v>
      </c>
      <c r="D68" s="317">
        <f t="shared" si="5"/>
        <v>9.6544869376135375E-3</v>
      </c>
      <c r="E68" s="356"/>
      <c r="F68" s="364">
        <v>86000000</v>
      </c>
      <c r="G68" s="317">
        <f t="shared" si="6"/>
        <v>4.2167528861121489E-2</v>
      </c>
      <c r="H68" s="356"/>
      <c r="I68" s="364">
        <f t="shared" si="7"/>
        <v>-63634982</v>
      </c>
      <c r="J68" s="365">
        <f t="shared" si="8"/>
        <v>-0.73994165116279065</v>
      </c>
      <c r="L68" s="477">
        <f t="shared" si="9"/>
        <v>22365018</v>
      </c>
    </row>
    <row r="69" spans="1:12" ht="15.75" customHeight="1" x14ac:dyDescent="0.25">
      <c r="A69" s="369" t="s">
        <v>437</v>
      </c>
      <c r="B69" s="1256"/>
      <c r="C69" s="325">
        <v>13956000</v>
      </c>
      <c r="D69" s="317">
        <f t="shared" si="5"/>
        <v>6.0244986031906846E-3</v>
      </c>
      <c r="E69" s="356"/>
      <c r="F69" s="364">
        <v>13500000</v>
      </c>
      <c r="G69" s="317">
        <f t="shared" si="6"/>
        <v>6.6193213909900009E-3</v>
      </c>
      <c r="H69" s="356"/>
      <c r="I69" s="364">
        <f t="shared" si="7"/>
        <v>456000</v>
      </c>
      <c r="J69" s="365">
        <f t="shared" si="8"/>
        <v>3.3777777777777775E-2</v>
      </c>
      <c r="L69" s="477">
        <f t="shared" si="9"/>
        <v>13956000</v>
      </c>
    </row>
    <row r="70" spans="1:12" ht="15.75" customHeight="1" x14ac:dyDescent="0.25">
      <c r="A70" s="369" t="s">
        <v>390</v>
      </c>
      <c r="B70" s="1256"/>
      <c r="C70" s="325">
        <v>27546321</v>
      </c>
      <c r="D70" s="317">
        <f t="shared" si="5"/>
        <v>1.1891141615616382E-2</v>
      </c>
      <c r="E70" s="356"/>
      <c r="F70" s="364">
        <v>23068491</v>
      </c>
      <c r="G70" s="317">
        <f t="shared" si="6"/>
        <v>1.1310944884011876E-2</v>
      </c>
      <c r="H70" s="356"/>
      <c r="I70" s="364">
        <f t="shared" si="7"/>
        <v>4477830</v>
      </c>
      <c r="J70" s="365">
        <v>0</v>
      </c>
      <c r="L70" s="477">
        <f t="shared" si="9"/>
        <v>27546321</v>
      </c>
    </row>
    <row r="71" spans="1:12" ht="15.75" customHeight="1" x14ac:dyDescent="0.25">
      <c r="A71" s="368" t="s">
        <v>238</v>
      </c>
      <c r="B71" s="1256"/>
      <c r="C71" s="325">
        <v>19665234</v>
      </c>
      <c r="D71" s="317">
        <f t="shared" si="5"/>
        <v>8.4890494958740296E-3</v>
      </c>
      <c r="E71" s="356"/>
      <c r="F71" s="364">
        <v>27202954</v>
      </c>
      <c r="G71" s="317">
        <f t="shared" si="6"/>
        <v>1.333815520817163E-2</v>
      </c>
      <c r="H71" s="356"/>
      <c r="I71" s="364">
        <f t="shared" si="7"/>
        <v>-7537720</v>
      </c>
      <c r="J71" s="365">
        <f t="shared" si="8"/>
        <v>-0.27709196582106488</v>
      </c>
      <c r="L71" s="477">
        <f t="shared" si="9"/>
        <v>19665234</v>
      </c>
    </row>
    <row r="72" spans="1:12" ht="15.75" customHeight="1" x14ac:dyDescent="0.25">
      <c r="A72" s="368" t="s">
        <v>237</v>
      </c>
      <c r="B72" s="1256"/>
      <c r="C72" s="325">
        <v>18546012</v>
      </c>
      <c r="D72" s="317">
        <f t="shared" si="5"/>
        <v>8.0059059464572709E-3</v>
      </c>
      <c r="E72" s="356"/>
      <c r="F72" s="364">
        <v>15129073</v>
      </c>
      <c r="G72" s="317">
        <f t="shared" si="6"/>
        <v>7.4180886322036494E-3</v>
      </c>
      <c r="H72" s="356"/>
      <c r="I72" s="364">
        <f t="shared" si="7"/>
        <v>3416939</v>
      </c>
      <c r="J72" s="365">
        <f t="shared" si="8"/>
        <v>0.22585250266159732</v>
      </c>
      <c r="L72" s="477">
        <f t="shared" si="9"/>
        <v>18546012</v>
      </c>
    </row>
    <row r="73" spans="1:12" ht="15.75" customHeight="1" x14ac:dyDescent="0.25">
      <c r="A73" s="369" t="s">
        <v>33</v>
      </c>
      <c r="B73" s="1256"/>
      <c r="C73" s="325"/>
      <c r="D73" s="317">
        <f t="shared" si="5"/>
        <v>0</v>
      </c>
      <c r="E73" s="356"/>
      <c r="F73" s="325">
        <v>0</v>
      </c>
      <c r="G73" s="317">
        <f t="shared" si="6"/>
        <v>0</v>
      </c>
      <c r="H73" s="356"/>
      <c r="I73" s="364">
        <f t="shared" si="7"/>
        <v>0</v>
      </c>
      <c r="J73" s="365">
        <v>0</v>
      </c>
      <c r="L73" s="477">
        <f t="shared" si="9"/>
        <v>0</v>
      </c>
    </row>
    <row r="74" spans="1:12" ht="15.75" customHeight="1" x14ac:dyDescent="0.25">
      <c r="A74" s="369" t="s">
        <v>239</v>
      </c>
      <c r="B74" s="1256"/>
      <c r="C74" s="325">
        <v>45216344</v>
      </c>
      <c r="D74" s="317">
        <f t="shared" si="5"/>
        <v>1.9518902355215643E-2</v>
      </c>
      <c r="E74" s="356"/>
      <c r="F74" s="325">
        <f>26091176.7866667+1550476</f>
        <v>27641652.786666699</v>
      </c>
      <c r="G74" s="317">
        <f t="shared" si="6"/>
        <v>1.3553258042451945E-2</v>
      </c>
      <c r="H74" s="356"/>
      <c r="I74" s="364">
        <f t="shared" si="7"/>
        <v>17574691.213333301</v>
      </c>
      <c r="J74" s="365">
        <f t="shared" si="8"/>
        <v>0.63580464413512483</v>
      </c>
      <c r="L74" s="477">
        <f t="shared" si="9"/>
        <v>45216344</v>
      </c>
    </row>
    <row r="75" spans="1:12" ht="15.75" customHeight="1" x14ac:dyDescent="0.25">
      <c r="A75" s="369" t="s">
        <v>240</v>
      </c>
      <c r="B75" s="1256"/>
      <c r="C75" s="325">
        <v>4140000</v>
      </c>
      <c r="D75" s="317">
        <f t="shared" si="5"/>
        <v>1.7871470490978386E-3</v>
      </c>
      <c r="E75" s="356"/>
      <c r="F75" s="325">
        <v>4000000</v>
      </c>
      <c r="G75" s="317">
        <f t="shared" si="6"/>
        <v>1.9612804121451853E-3</v>
      </c>
      <c r="H75" s="356"/>
      <c r="I75" s="364">
        <f t="shared" si="7"/>
        <v>140000</v>
      </c>
      <c r="J75" s="365">
        <v>0</v>
      </c>
      <c r="L75" s="477">
        <f t="shared" si="9"/>
        <v>4140000</v>
      </c>
    </row>
    <row r="76" spans="1:12" ht="15.75" customHeight="1" x14ac:dyDescent="0.25">
      <c r="A76" s="369" t="s">
        <v>241</v>
      </c>
      <c r="B76" s="1256"/>
      <c r="C76" s="325">
        <v>16512000</v>
      </c>
      <c r="D76" s="317">
        <f t="shared" si="5"/>
        <v>7.1278676508945678E-3</v>
      </c>
      <c r="E76" s="356"/>
      <c r="F76" s="325">
        <v>16000000</v>
      </c>
      <c r="G76" s="317">
        <f t="shared" si="6"/>
        <v>7.8451216485807412E-3</v>
      </c>
      <c r="H76" s="356"/>
      <c r="I76" s="364">
        <f t="shared" si="7"/>
        <v>512000</v>
      </c>
      <c r="J76" s="365">
        <f t="shared" si="8"/>
        <v>3.2000000000000001E-2</v>
      </c>
      <c r="L76" s="477">
        <f t="shared" si="9"/>
        <v>16512000</v>
      </c>
    </row>
    <row r="77" spans="1:12" ht="15.75" customHeight="1" x14ac:dyDescent="0.25">
      <c r="A77" s="369" t="s">
        <v>242</v>
      </c>
      <c r="B77" s="1256"/>
      <c r="C77" s="325">
        <v>3900000</v>
      </c>
      <c r="D77" s="317">
        <f t="shared" si="5"/>
        <v>1.683544321613906E-3</v>
      </c>
      <c r="E77" s="356"/>
      <c r="F77" s="364">
        <v>2200000</v>
      </c>
      <c r="G77" s="317">
        <f t="shared" si="6"/>
        <v>1.078704226679852E-3</v>
      </c>
      <c r="H77" s="356"/>
      <c r="I77" s="364">
        <f t="shared" si="7"/>
        <v>1700000</v>
      </c>
      <c r="J77" s="365">
        <f t="shared" si="8"/>
        <v>0.77272727272727271</v>
      </c>
      <c r="L77" s="477">
        <f t="shared" si="9"/>
        <v>3900000</v>
      </c>
    </row>
    <row r="78" spans="1:12" ht="15.75" customHeight="1" x14ac:dyDescent="0.25">
      <c r="A78" s="369" t="s">
        <v>243</v>
      </c>
      <c r="B78" s="1256"/>
      <c r="C78" s="325">
        <v>21133233</v>
      </c>
      <c r="D78" s="317">
        <f t="shared" si="5"/>
        <v>9.1227524139727203E-3</v>
      </c>
      <c r="E78" s="356"/>
      <c r="F78" s="364">
        <v>16000000</v>
      </c>
      <c r="G78" s="317">
        <f t="shared" si="6"/>
        <v>7.8451216485807412E-3</v>
      </c>
      <c r="H78" s="356"/>
      <c r="I78" s="364">
        <f t="shared" si="7"/>
        <v>5133233</v>
      </c>
      <c r="J78" s="365">
        <f t="shared" si="8"/>
        <v>0.32082706249999998</v>
      </c>
      <c r="L78" s="477">
        <f t="shared" si="9"/>
        <v>21133233</v>
      </c>
    </row>
    <row r="79" spans="1:12" ht="15.75" customHeight="1" x14ac:dyDescent="0.25">
      <c r="A79" s="369" t="s">
        <v>244</v>
      </c>
      <c r="B79" s="1256"/>
      <c r="C79" s="325">
        <v>120645000</v>
      </c>
      <c r="D79" s="317">
        <f t="shared" si="5"/>
        <v>5.2079796072079403E-2</v>
      </c>
      <c r="E79" s="356"/>
      <c r="F79" s="364">
        <v>113000000</v>
      </c>
      <c r="G79" s="317">
        <f t="shared" si="6"/>
        <v>5.5406171643101493E-2</v>
      </c>
      <c r="H79" s="356"/>
      <c r="I79" s="364">
        <f t="shared" si="7"/>
        <v>7645000</v>
      </c>
      <c r="J79" s="365">
        <v>0</v>
      </c>
      <c r="L79" s="477">
        <f t="shared" si="9"/>
        <v>120645000</v>
      </c>
    </row>
    <row r="80" spans="1:12" ht="15.75" customHeight="1" x14ac:dyDescent="0.25">
      <c r="A80" s="369" t="s">
        <v>245</v>
      </c>
      <c r="B80" s="1256"/>
      <c r="C80" s="325">
        <v>9312000</v>
      </c>
      <c r="D80" s="317">
        <f t="shared" si="5"/>
        <v>4.0197858263765875E-3</v>
      </c>
      <c r="E80" s="356"/>
      <c r="F80" s="364">
        <v>9000000</v>
      </c>
      <c r="G80" s="317">
        <f t="shared" si="6"/>
        <v>4.4128809273266669E-3</v>
      </c>
      <c r="H80" s="356"/>
      <c r="I80" s="364">
        <f t="shared" si="7"/>
        <v>312000</v>
      </c>
      <c r="J80" s="365">
        <v>0</v>
      </c>
      <c r="L80" s="477">
        <f t="shared" si="9"/>
        <v>9312000</v>
      </c>
    </row>
    <row r="81" spans="1:12" ht="15.75" customHeight="1" x14ac:dyDescent="0.25">
      <c r="A81" s="369" t="s">
        <v>642</v>
      </c>
      <c r="B81" s="1256"/>
      <c r="C81" s="325">
        <v>3000000</v>
      </c>
      <c r="D81" s="317">
        <f t="shared" si="5"/>
        <v>1.2950340935491585E-3</v>
      </c>
      <c r="E81" s="356"/>
      <c r="F81" s="364">
        <v>2900000</v>
      </c>
      <c r="G81" s="317">
        <f t="shared" si="6"/>
        <v>1.4219282988052594E-3</v>
      </c>
      <c r="H81" s="356"/>
      <c r="I81" s="364">
        <f t="shared" si="7"/>
        <v>100000</v>
      </c>
      <c r="J81" s="365"/>
      <c r="L81" s="477">
        <f t="shared" si="9"/>
        <v>3000000</v>
      </c>
    </row>
    <row r="82" spans="1:12" ht="15.75" customHeight="1" x14ac:dyDescent="0.25">
      <c r="A82" s="480" t="s">
        <v>672</v>
      </c>
      <c r="B82" s="481"/>
      <c r="C82" s="325">
        <v>5688000</v>
      </c>
      <c r="D82" s="317"/>
      <c r="E82" s="356"/>
      <c r="F82" s="364">
        <v>3400000</v>
      </c>
      <c r="G82" s="317"/>
      <c r="H82" s="356"/>
      <c r="I82" s="364"/>
      <c r="J82" s="365"/>
      <c r="L82" s="477">
        <f t="shared" si="9"/>
        <v>5688000</v>
      </c>
    </row>
    <row r="83" spans="1:12" ht="15.75" customHeight="1" x14ac:dyDescent="0.25">
      <c r="A83" s="480" t="s">
        <v>673</v>
      </c>
      <c r="B83" s="481"/>
      <c r="C83" s="325">
        <v>5688000</v>
      </c>
      <c r="D83" s="317"/>
      <c r="E83" s="356"/>
      <c r="F83" s="364">
        <v>3000000</v>
      </c>
      <c r="G83" s="317"/>
      <c r="H83" s="356"/>
      <c r="I83" s="364"/>
      <c r="J83" s="365"/>
      <c r="L83" s="477">
        <f t="shared" si="9"/>
        <v>5688000</v>
      </c>
    </row>
    <row r="84" spans="1:12" ht="14.25" x14ac:dyDescent="0.25">
      <c r="A84" s="321" t="s">
        <v>246</v>
      </c>
      <c r="C84" s="313">
        <f>SUM(C44:C83)</f>
        <v>585081162</v>
      </c>
      <c r="D84" s="366">
        <f>+C84/$C$11</f>
        <v>0.25256668409445276</v>
      </c>
      <c r="E84" s="356"/>
      <c r="F84" s="313">
        <f>SUM(F44:F83)</f>
        <v>600615626.78666663</v>
      </c>
      <c r="G84" s="366">
        <f>+F84/$F$11</f>
        <v>0.29449391601124808</v>
      </c>
      <c r="H84" s="356"/>
      <c r="I84" s="313">
        <f>C84-F84</f>
        <v>-15534464.786666632</v>
      </c>
      <c r="J84" s="326">
        <f t="shared" si="8"/>
        <v>-2.5864236782810742E-2</v>
      </c>
      <c r="L84" s="313">
        <f>SUM(L44:L83)</f>
        <v>585081162</v>
      </c>
    </row>
    <row r="85" spans="1:12" ht="14.25" x14ac:dyDescent="0.25">
      <c r="A85" s="321" t="s">
        <v>247</v>
      </c>
      <c r="C85" s="313">
        <f>+C19+C39+C84</f>
        <v>1911058811</v>
      </c>
      <c r="D85" s="366">
        <f>+C85/$C$11</f>
        <v>0.82496210500750577</v>
      </c>
      <c r="E85" s="356"/>
      <c r="F85" s="313">
        <f>SUM(F84,F39,F19)</f>
        <v>1741303864.4797535</v>
      </c>
      <c r="G85" s="366">
        <f>+F85/$F$11</f>
        <v>0.85379629024921377</v>
      </c>
      <c r="H85" s="356"/>
      <c r="I85" s="313">
        <f>C85-F85</f>
        <v>169754946.52024651</v>
      </c>
      <c r="J85" s="326">
        <f t="shared" si="8"/>
        <v>9.7487262265373714E-2</v>
      </c>
      <c r="L85" s="313">
        <f>+L19+L39+L84</f>
        <v>1911058811</v>
      </c>
    </row>
    <row r="86" spans="1:12" ht="14.25" x14ac:dyDescent="0.25">
      <c r="A86" s="376"/>
      <c r="C86" s="348"/>
      <c r="D86" s="377"/>
      <c r="E86" s="356"/>
      <c r="F86" s="348"/>
      <c r="G86" s="377"/>
      <c r="H86" s="356"/>
      <c r="I86" s="348"/>
      <c r="J86" s="416"/>
      <c r="L86" s="348"/>
    </row>
    <row r="87" spans="1:12" ht="14.25" x14ac:dyDescent="0.25">
      <c r="A87" s="321" t="s">
        <v>398</v>
      </c>
      <c r="C87" s="313">
        <f>+C11-C85</f>
        <v>405482517.86820602</v>
      </c>
      <c r="D87" s="366">
        <f>C87/C11</f>
        <v>0.1750378949924942</v>
      </c>
      <c r="E87" s="356"/>
      <c r="F87" s="313">
        <f>+F11-F85</f>
        <v>298180125.2802465</v>
      </c>
      <c r="G87" s="366">
        <f>+F87/$F$11</f>
        <v>0.14620370975078623</v>
      </c>
      <c r="H87" s="356"/>
      <c r="I87" s="313">
        <f>C87-F87</f>
        <v>107302392.58795953</v>
      </c>
      <c r="J87" s="326">
        <f>I87/F87</f>
        <v>0.35985762795931048</v>
      </c>
      <c r="L87" s="313">
        <f>+L11-L85</f>
        <v>405482517.86820602</v>
      </c>
    </row>
    <row r="88" spans="1:12" s="295" customFormat="1" ht="14.25" x14ac:dyDescent="0.25">
      <c r="A88" s="296"/>
      <c r="B88" s="346"/>
      <c r="C88" s="298"/>
      <c r="D88" s="374"/>
      <c r="E88" s="356"/>
      <c r="F88" s="298"/>
      <c r="G88" s="374"/>
      <c r="H88" s="356"/>
      <c r="I88" s="298"/>
      <c r="J88" s="299"/>
      <c r="L88" s="298"/>
    </row>
    <row r="89" spans="1:12" ht="14.25" x14ac:dyDescent="0.25">
      <c r="A89" s="1200" t="s">
        <v>404</v>
      </c>
      <c r="C89" s="294"/>
      <c r="D89" s="308"/>
      <c r="E89" s="356"/>
      <c r="F89" s="294"/>
      <c r="G89" s="308"/>
      <c r="H89" s="356"/>
      <c r="I89" s="332"/>
      <c r="J89" s="332"/>
      <c r="L89" s="294"/>
    </row>
    <row r="90" spans="1:12" ht="14.25" x14ac:dyDescent="0.25">
      <c r="A90" s="1200"/>
      <c r="C90" s="383">
        <f>C43</f>
        <v>2014</v>
      </c>
      <c r="D90" s="384" t="s">
        <v>400</v>
      </c>
      <c r="E90" s="356"/>
      <c r="F90" s="383">
        <f>F43</f>
        <v>2013</v>
      </c>
      <c r="G90" s="384" t="s">
        <v>400</v>
      </c>
      <c r="H90" s="356"/>
      <c r="I90" s="383" t="s">
        <v>392</v>
      </c>
      <c r="J90" s="384" t="s">
        <v>393</v>
      </c>
      <c r="L90" s="383">
        <f>L43</f>
        <v>2014</v>
      </c>
    </row>
    <row r="91" spans="1:12" ht="14.25" x14ac:dyDescent="0.25">
      <c r="A91" s="312" t="s">
        <v>249</v>
      </c>
      <c r="C91" s="318">
        <v>20938300</v>
      </c>
      <c r="D91" s="362">
        <f>+C91/$C$11</f>
        <v>9.0386041203201137E-3</v>
      </c>
      <c r="E91" s="356"/>
      <c r="F91" s="482">
        <v>20974475.840421196</v>
      </c>
      <c r="G91" s="362">
        <f>+F91/$F$11</f>
        <v>1.028420715520763E-2</v>
      </c>
      <c r="H91" s="356"/>
      <c r="I91" s="364">
        <f>C91-F91</f>
        <v>-36175.840421196073</v>
      </c>
      <c r="J91" s="365">
        <f>IF(F91&lt;&gt;0,I91/F91,0)</f>
        <v>-1.724755397771581E-3</v>
      </c>
      <c r="L91" s="477">
        <f>(C91/12)*12</f>
        <v>20938300</v>
      </c>
    </row>
    <row r="92" spans="1:12" ht="14.25" x14ac:dyDescent="0.25">
      <c r="A92" s="312" t="s">
        <v>682</v>
      </c>
      <c r="C92" s="318"/>
      <c r="D92" s="362">
        <v>0</v>
      </c>
      <c r="E92" s="356"/>
      <c r="F92" s="364">
        <v>0</v>
      </c>
      <c r="G92" s="362">
        <v>0</v>
      </c>
      <c r="H92" s="356"/>
      <c r="I92" s="364">
        <f>C92-F92</f>
        <v>0</v>
      </c>
      <c r="J92" s="365">
        <f>IF(F92&lt;&gt;0,I92/F92,0)</f>
        <v>0</v>
      </c>
      <c r="L92" s="318"/>
    </row>
    <row r="93" spans="1:12" ht="14.25" x14ac:dyDescent="0.25">
      <c r="A93" s="361" t="s">
        <v>250</v>
      </c>
      <c r="C93" s="318"/>
      <c r="D93" s="362">
        <v>0</v>
      </c>
      <c r="E93" s="356"/>
      <c r="F93" s="364">
        <v>0</v>
      </c>
      <c r="G93" s="362">
        <v>0</v>
      </c>
      <c r="H93" s="356"/>
      <c r="I93" s="364">
        <f>C93-F93</f>
        <v>0</v>
      </c>
      <c r="J93" s="365">
        <f>IF(F93&lt;&gt;0,I93/F93,0)</f>
        <v>0</v>
      </c>
      <c r="L93" s="318"/>
    </row>
    <row r="94" spans="1:12" ht="14.25" x14ac:dyDescent="0.25">
      <c r="A94" s="321" t="s">
        <v>405</v>
      </c>
      <c r="C94" s="313">
        <f>SUM(C91:C93)</f>
        <v>20938300</v>
      </c>
      <c r="D94" s="371">
        <f>+C94/$C$11</f>
        <v>9.0386041203201137E-3</v>
      </c>
      <c r="E94" s="356"/>
      <c r="F94" s="313">
        <f>SUM(F91:F93)</f>
        <v>20974475.840421196</v>
      </c>
      <c r="G94" s="371">
        <f>+F94/$F$11</f>
        <v>1.028420715520763E-2</v>
      </c>
      <c r="H94" s="356"/>
      <c r="I94" s="313">
        <f>C94-F94</f>
        <v>-36175.840421196073</v>
      </c>
      <c r="J94" s="365">
        <v>0</v>
      </c>
      <c r="L94" s="313">
        <f>SUM(L91:L93)</f>
        <v>20938300</v>
      </c>
    </row>
    <row r="95" spans="1:12" s="295" customFormat="1" ht="14.25" x14ac:dyDescent="0.25">
      <c r="A95" s="309"/>
      <c r="B95" s="346"/>
      <c r="C95" s="378"/>
      <c r="D95" s="333"/>
      <c r="E95" s="356"/>
      <c r="F95" s="305"/>
      <c r="G95" s="378"/>
      <c r="H95" s="356"/>
      <c r="I95" s="378"/>
      <c r="J95" s="378"/>
      <c r="L95" s="378"/>
    </row>
    <row r="96" spans="1:12" s="295" customFormat="1" ht="14.25" x14ac:dyDescent="0.25">
      <c r="A96" s="309"/>
      <c r="B96" s="346"/>
      <c r="C96" s="378"/>
      <c r="D96" s="333"/>
      <c r="E96" s="356"/>
      <c r="F96" s="305"/>
      <c r="G96" s="378"/>
      <c r="H96" s="356"/>
      <c r="I96" s="378"/>
      <c r="J96" s="378"/>
      <c r="L96" s="378"/>
    </row>
    <row r="97" spans="1:12" ht="14.25" x14ac:dyDescent="0.25">
      <c r="A97" s="385" t="s">
        <v>399</v>
      </c>
      <c r="C97" s="386">
        <f>+C87+C94</f>
        <v>426420817.86820602</v>
      </c>
      <c r="D97" s="387">
        <f>+C97/$C$11</f>
        <v>0.18407649911281432</v>
      </c>
      <c r="E97" s="483"/>
      <c r="F97" s="386">
        <f>+F87+F94</f>
        <v>319154601.1206677</v>
      </c>
      <c r="G97" s="387">
        <f>+F97/$F$11</f>
        <v>0.15648791690599384</v>
      </c>
      <c r="H97" s="483"/>
      <c r="I97" s="386">
        <f>C97-F97</f>
        <v>107266216.74753833</v>
      </c>
      <c r="J97" s="388">
        <f>I97/F97</f>
        <v>0.33609484673223478</v>
      </c>
      <c r="L97" s="386">
        <f>+L87+L94</f>
        <v>426420817.86820602</v>
      </c>
    </row>
    <row r="98" spans="1:12" ht="20.100000000000001" customHeight="1" x14ac:dyDescent="0.25">
      <c r="A98" s="379"/>
      <c r="C98" s="380"/>
      <c r="D98" s="380"/>
      <c r="E98" s="380"/>
      <c r="F98" s="307"/>
      <c r="G98" s="380"/>
      <c r="H98" s="380"/>
      <c r="I98" s="380"/>
      <c r="J98" s="380"/>
      <c r="K98" s="295"/>
    </row>
    <row r="99" spans="1:12" ht="20.100000000000001" customHeight="1" x14ac:dyDescent="0.25">
      <c r="A99" s="307"/>
      <c r="C99" s="418"/>
      <c r="D99" s="377"/>
      <c r="E99" s="377"/>
      <c r="F99" s="418"/>
      <c r="G99" s="377"/>
      <c r="H99" s="377"/>
      <c r="I99" s="377"/>
      <c r="J99" s="377"/>
      <c r="K99" s="343"/>
    </row>
    <row r="100" spans="1:12" ht="20.100000000000001" customHeight="1" x14ac:dyDescent="0.25">
      <c r="A100" s="311" t="s">
        <v>450</v>
      </c>
      <c r="B100" s="1181" t="s">
        <v>257</v>
      </c>
      <c r="C100" s="1181"/>
      <c r="D100" s="1181"/>
      <c r="E100" s="350"/>
      <c r="F100" s="350"/>
      <c r="G100" s="1181" t="s">
        <v>258</v>
      </c>
      <c r="H100" s="1181"/>
      <c r="I100" s="1181"/>
      <c r="J100" s="1181"/>
      <c r="K100" s="346"/>
    </row>
    <row r="101" spans="1:12" ht="24.75" customHeight="1" x14ac:dyDescent="0.25">
      <c r="A101" s="417" t="s">
        <v>49</v>
      </c>
      <c r="C101" s="476" t="s">
        <v>646</v>
      </c>
      <c r="D101" s="357"/>
      <c r="E101" s="357"/>
      <c r="F101" s="357"/>
      <c r="G101" s="1201" t="s">
        <v>279</v>
      </c>
      <c r="H101" s="1201"/>
      <c r="I101" s="1201"/>
      <c r="J101" s="1201"/>
      <c r="K101" s="346"/>
    </row>
    <row r="102" spans="1:12" ht="20.100000000000001" customHeight="1" x14ac:dyDescent="0.25">
      <c r="A102" s="295"/>
      <c r="C102" s="343"/>
      <c r="D102" s="343"/>
      <c r="E102" s="343"/>
      <c r="F102" s="381"/>
      <c r="G102" s="343"/>
      <c r="H102" s="343"/>
      <c r="I102" s="343"/>
      <c r="J102" s="343"/>
      <c r="K102" s="343"/>
    </row>
    <row r="103" spans="1:12" ht="20.100000000000001" customHeight="1" x14ac:dyDescent="0.25">
      <c r="A103" s="295" t="s">
        <v>435</v>
      </c>
      <c r="C103" s="343">
        <f>C97+SUM(C71:C75)</f>
        <v>513988407.86820602</v>
      </c>
      <c r="D103" s="343"/>
      <c r="E103" s="343"/>
      <c r="F103" s="343">
        <f>F97+SUM(F71:F75)</f>
        <v>393128280.90733439</v>
      </c>
      <c r="G103" s="343"/>
      <c r="H103" s="343"/>
      <c r="I103" s="343"/>
      <c r="J103" s="343"/>
      <c r="K103" s="343"/>
    </row>
    <row r="104" spans="1:12" ht="20.100000000000001" customHeight="1" x14ac:dyDescent="0.25">
      <c r="C104" s="343"/>
      <c r="D104" s="343"/>
      <c r="E104" s="343"/>
      <c r="F104" s="381"/>
      <c r="G104" s="343"/>
      <c r="H104" s="343"/>
      <c r="I104" s="343"/>
      <c r="J104" s="343"/>
      <c r="K104" s="343"/>
    </row>
  </sheetData>
  <mergeCells count="10">
    <mergeCell ref="N8:Q10"/>
    <mergeCell ref="B100:D100"/>
    <mergeCell ref="G100:J100"/>
    <mergeCell ref="G101:J101"/>
    <mergeCell ref="A7:A8"/>
    <mergeCell ref="A14:A15"/>
    <mergeCell ref="A23:A24"/>
    <mergeCell ref="A42:A43"/>
    <mergeCell ref="B44:B81"/>
    <mergeCell ref="A89:A90"/>
  </mergeCells>
  <pageMargins left="0.70866141732283472" right="0.70866141732283472" top="0.74803149606299213" bottom="1.1417322834645669" header="0.31496062992125984" footer="0.31496062992125984"/>
  <pageSetup scale="70" firstPageNumber="0" orientation="portrait" verticalDpi="3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4"/>
  <dimension ref="A3:N30"/>
  <sheetViews>
    <sheetView topLeftCell="A24" workbookViewId="0">
      <selection activeCell="E41" sqref="E41"/>
    </sheetView>
  </sheetViews>
  <sheetFormatPr baseColWidth="10" defaultRowHeight="15" x14ac:dyDescent="0.2"/>
  <cols>
    <col min="1" max="1" width="20.21875" customWidth="1"/>
    <col min="2" max="2" width="17.109375" customWidth="1"/>
    <col min="3" max="3" width="14.109375" customWidth="1"/>
    <col min="4" max="4" width="14.21875" customWidth="1"/>
    <col min="5" max="5" width="14.33203125" customWidth="1"/>
    <col min="6" max="6" width="14.77734375" customWidth="1"/>
    <col min="7" max="7" width="13.5546875" customWidth="1"/>
    <col min="8" max="8" width="14.33203125" customWidth="1"/>
    <col min="9" max="9" width="15.6640625" bestFit="1" customWidth="1"/>
    <col min="10" max="10" width="15.5546875" customWidth="1"/>
  </cols>
  <sheetData>
    <row r="3" spans="1:10" x14ac:dyDescent="0.2">
      <c r="A3" s="181"/>
      <c r="B3" s="182" t="s">
        <v>598</v>
      </c>
      <c r="C3" s="182" t="s">
        <v>590</v>
      </c>
      <c r="D3" s="182" t="s">
        <v>591</v>
      </c>
      <c r="E3" s="182" t="s">
        <v>592</v>
      </c>
      <c r="F3" s="182" t="s">
        <v>593</v>
      </c>
      <c r="G3" s="182" t="s">
        <v>594</v>
      </c>
      <c r="H3" s="182" t="s">
        <v>595</v>
      </c>
      <c r="I3" s="182" t="s">
        <v>596</v>
      </c>
      <c r="J3" s="182" t="s">
        <v>599</v>
      </c>
    </row>
    <row r="4" spans="1:10" x14ac:dyDescent="0.2">
      <c r="A4" s="181" t="s">
        <v>532</v>
      </c>
      <c r="B4" s="273">
        <v>8344519237.7600002</v>
      </c>
      <c r="C4" s="274">
        <v>8713543565.1599998</v>
      </c>
      <c r="D4" s="274">
        <v>9176606924.1499996</v>
      </c>
      <c r="E4" s="274">
        <v>9427327223</v>
      </c>
      <c r="F4" s="275">
        <v>9568593061.1499996</v>
      </c>
      <c r="G4" s="274">
        <v>9860676672.1499996</v>
      </c>
      <c r="H4" s="274">
        <v>9997181755.3500004</v>
      </c>
      <c r="I4" s="275">
        <v>10537062005.35</v>
      </c>
      <c r="J4" s="275">
        <f>I4+180000000</f>
        <v>10717062005.35</v>
      </c>
    </row>
    <row r="5" spans="1:10" x14ac:dyDescent="0.2">
      <c r="A5" s="181" t="s">
        <v>597</v>
      </c>
      <c r="B5" s="273">
        <v>6197469334.9200001</v>
      </c>
      <c r="C5" s="274">
        <v>6329755550.9099998</v>
      </c>
      <c r="D5" s="275">
        <v>6330333113.8799992</v>
      </c>
      <c r="E5" s="275">
        <v>6432393168.4099998</v>
      </c>
      <c r="F5" s="275">
        <v>6476328920.1199999</v>
      </c>
      <c r="G5" s="274">
        <v>6517455004.9200001</v>
      </c>
      <c r="H5" s="274">
        <v>6617318277.6199999</v>
      </c>
      <c r="I5" s="274">
        <v>6699131708.3199997</v>
      </c>
      <c r="J5" s="274">
        <f>6699131708.32-600000000</f>
        <v>6099131708.3199997</v>
      </c>
    </row>
    <row r="9" spans="1:10" x14ac:dyDescent="0.2">
      <c r="A9" s="181"/>
      <c r="B9" s="182" t="s">
        <v>590</v>
      </c>
      <c r="C9" s="182" t="s">
        <v>591</v>
      </c>
      <c r="D9" s="182" t="s">
        <v>592</v>
      </c>
      <c r="E9" s="182" t="s">
        <v>593</v>
      </c>
      <c r="F9" s="182" t="s">
        <v>594</v>
      </c>
      <c r="G9" s="182" t="s">
        <v>595</v>
      </c>
      <c r="H9" s="182" t="s">
        <v>596</v>
      </c>
      <c r="I9" s="182" t="s">
        <v>599</v>
      </c>
      <c r="J9" s="182"/>
    </row>
    <row r="10" spans="1:10" x14ac:dyDescent="0.2">
      <c r="A10" s="181" t="s">
        <v>532</v>
      </c>
      <c r="B10" s="273">
        <f>C4-$B$4</f>
        <v>369024327.39999962</v>
      </c>
      <c r="C10" s="273">
        <f t="shared" ref="C10:I10" si="0">D4-$B$4</f>
        <v>832087686.38999939</v>
      </c>
      <c r="D10" s="273">
        <f t="shared" si="0"/>
        <v>1082807985.2399998</v>
      </c>
      <c r="E10" s="273">
        <f t="shared" si="0"/>
        <v>1224073823.3899994</v>
      </c>
      <c r="F10" s="273">
        <f t="shared" si="0"/>
        <v>1516157434.3899994</v>
      </c>
      <c r="G10" s="273">
        <f t="shared" si="0"/>
        <v>1652662517.5900002</v>
      </c>
      <c r="H10" s="273">
        <f t="shared" si="0"/>
        <v>2192542767.5900002</v>
      </c>
      <c r="I10" s="273">
        <f t="shared" si="0"/>
        <v>2372542767.5900002</v>
      </c>
      <c r="J10" s="273"/>
    </row>
    <row r="11" spans="1:10" x14ac:dyDescent="0.2">
      <c r="A11" s="181" t="s">
        <v>597</v>
      </c>
      <c r="B11" s="273">
        <f>C5-$B$5</f>
        <v>132286215.98999977</v>
      </c>
      <c r="C11" s="273">
        <f t="shared" ref="C11:I11" si="1">D5-$B$5</f>
        <v>132863778.95999908</v>
      </c>
      <c r="D11" s="273">
        <f t="shared" si="1"/>
        <v>234923833.48999977</v>
      </c>
      <c r="E11" s="273">
        <f t="shared" si="1"/>
        <v>278859585.19999981</v>
      </c>
      <c r="F11" s="273">
        <f t="shared" si="1"/>
        <v>319985670</v>
      </c>
      <c r="G11" s="273">
        <f t="shared" si="1"/>
        <v>419848942.69999981</v>
      </c>
      <c r="H11" s="273">
        <f t="shared" si="1"/>
        <v>501662373.39999962</v>
      </c>
      <c r="I11" s="273">
        <f t="shared" si="1"/>
        <v>-98337626.600000381</v>
      </c>
      <c r="J11" s="274"/>
    </row>
    <row r="14" spans="1:10" x14ac:dyDescent="0.2">
      <c r="A14" s="181"/>
      <c r="B14" s="182" t="s">
        <v>590</v>
      </c>
      <c r="C14" s="182" t="s">
        <v>591</v>
      </c>
      <c r="D14" s="182" t="s">
        <v>592</v>
      </c>
      <c r="E14" s="182" t="s">
        <v>593</v>
      </c>
      <c r="F14" s="182" t="s">
        <v>594</v>
      </c>
      <c r="G14" s="182" t="s">
        <v>595</v>
      </c>
      <c r="H14" s="182" t="s">
        <v>596</v>
      </c>
      <c r="I14" s="182" t="s">
        <v>599</v>
      </c>
    </row>
    <row r="15" spans="1:10" x14ac:dyDescent="0.2">
      <c r="A15" s="181" t="s">
        <v>532</v>
      </c>
      <c r="B15" s="148">
        <f>B10/$B$4</f>
        <v>4.4223557629314111E-2</v>
      </c>
      <c r="C15" s="148">
        <f t="shared" ref="C15:I15" si="2">C10/$B$4</f>
        <v>9.971667182750299E-2</v>
      </c>
      <c r="D15" s="148">
        <f t="shared" si="2"/>
        <v>0.12976277654680898</v>
      </c>
      <c r="E15" s="148">
        <f t="shared" si="2"/>
        <v>0.14669195294690091</v>
      </c>
      <c r="F15" s="148">
        <f t="shared" si="2"/>
        <v>0.18169500137637601</v>
      </c>
      <c r="G15" s="148">
        <f t="shared" si="2"/>
        <v>0.19805365300273911</v>
      </c>
      <c r="H15" s="148">
        <f t="shared" si="2"/>
        <v>0.26275243727265535</v>
      </c>
      <c r="I15" s="148">
        <f t="shared" si="2"/>
        <v>0.28432348227492188</v>
      </c>
    </row>
    <row r="16" spans="1:10" x14ac:dyDescent="0.2">
      <c r="A16" s="181" t="s">
        <v>597</v>
      </c>
      <c r="B16" s="148">
        <f>B11/$B$5</f>
        <v>2.1345198958004588E-2</v>
      </c>
      <c r="C16" s="148">
        <f t="shared" ref="C16:I16" si="3">C11/$B$5</f>
        <v>2.1438392314645338E-2</v>
      </c>
      <c r="D16" s="148">
        <f t="shared" si="3"/>
        <v>3.790641321390778E-2</v>
      </c>
      <c r="E16" s="148">
        <f t="shared" si="3"/>
        <v>4.499571843441795E-2</v>
      </c>
      <c r="F16" s="148">
        <f t="shared" si="3"/>
        <v>5.1631666525080194E-2</v>
      </c>
      <c r="G16" s="148">
        <f t="shared" si="3"/>
        <v>6.774522309200251E-2</v>
      </c>
      <c r="H16" s="148">
        <f t="shared" si="3"/>
        <v>8.0946326038816185E-2</v>
      </c>
      <c r="I16" s="148">
        <f t="shared" si="3"/>
        <v>-1.5867384134667893E-2</v>
      </c>
    </row>
    <row r="17" spans="1:14" x14ac:dyDescent="0.2">
      <c r="A17" s="181" t="s">
        <v>600</v>
      </c>
      <c r="B17" s="148">
        <f>1.67%</f>
        <v>1.67E-2</v>
      </c>
      <c r="C17" s="148">
        <f>B17+1.67%</f>
        <v>3.3399999999999999E-2</v>
      </c>
      <c r="D17" s="148">
        <f>C17+$B$17</f>
        <v>5.0099999999999999E-2</v>
      </c>
      <c r="E17" s="148">
        <f t="shared" ref="E17:M17" si="4">D17+$B$17</f>
        <v>6.6799999999999998E-2</v>
      </c>
      <c r="F17" s="148">
        <f t="shared" si="4"/>
        <v>8.3499999999999991E-2</v>
      </c>
      <c r="G17" s="148">
        <f t="shared" si="4"/>
        <v>0.10019999999999998</v>
      </c>
      <c r="H17" s="148">
        <f t="shared" si="4"/>
        <v>0.11689999999999998</v>
      </c>
      <c r="I17" s="148">
        <f t="shared" si="4"/>
        <v>0.13359999999999997</v>
      </c>
      <c r="J17" s="207">
        <f t="shared" si="4"/>
        <v>0.15029999999999996</v>
      </c>
      <c r="K17" s="207">
        <f t="shared" si="4"/>
        <v>0.16699999999999995</v>
      </c>
      <c r="L17" s="207">
        <f t="shared" si="4"/>
        <v>0.18369999999999995</v>
      </c>
      <c r="M17" s="207">
        <f t="shared" si="4"/>
        <v>0.20039999999999994</v>
      </c>
      <c r="N17" s="207"/>
    </row>
    <row r="18" spans="1:14" x14ac:dyDescent="0.2">
      <c r="A18" s="181" t="s">
        <v>601</v>
      </c>
      <c r="B18" s="148">
        <f>2.08%</f>
        <v>2.0799999999999999E-2</v>
      </c>
      <c r="C18" s="148">
        <f>B18+2.08%</f>
        <v>4.1599999999999998E-2</v>
      </c>
      <c r="D18" s="148">
        <f>C18+$B$18</f>
        <v>6.2399999999999997E-2</v>
      </c>
      <c r="E18" s="148">
        <f t="shared" ref="E18:M18" si="5">D18+$B$18</f>
        <v>8.3199999999999996E-2</v>
      </c>
      <c r="F18" s="148">
        <f t="shared" si="5"/>
        <v>0.104</v>
      </c>
      <c r="G18" s="148">
        <f t="shared" si="5"/>
        <v>0.12479999999999999</v>
      </c>
      <c r="H18" s="148">
        <f t="shared" si="5"/>
        <v>0.14560000000000001</v>
      </c>
      <c r="I18" s="148">
        <f t="shared" si="5"/>
        <v>0.16639999999999999</v>
      </c>
      <c r="J18" s="207">
        <f t="shared" si="5"/>
        <v>0.18719999999999998</v>
      </c>
      <c r="K18" s="207">
        <f t="shared" si="5"/>
        <v>0.20799999999999996</v>
      </c>
      <c r="L18" s="207">
        <f t="shared" si="5"/>
        <v>0.22879999999999995</v>
      </c>
      <c r="M18" s="207">
        <f t="shared" si="5"/>
        <v>0.24959999999999993</v>
      </c>
    </row>
    <row r="20" spans="1:14" x14ac:dyDescent="0.2">
      <c r="E20">
        <f>1.79/12</f>
        <v>0.14916666666666667</v>
      </c>
    </row>
    <row r="26" spans="1:14" x14ac:dyDescent="0.2">
      <c r="A26" s="181"/>
      <c r="B26" s="182" t="s">
        <v>598</v>
      </c>
      <c r="C26" s="182" t="s">
        <v>590</v>
      </c>
      <c r="D26" s="182" t="s">
        <v>591</v>
      </c>
      <c r="E26" s="182" t="s">
        <v>592</v>
      </c>
      <c r="F26" s="182" t="s">
        <v>593</v>
      </c>
      <c r="G26" s="182" t="s">
        <v>594</v>
      </c>
      <c r="H26" s="182" t="s">
        <v>595</v>
      </c>
      <c r="I26" s="182" t="s">
        <v>596</v>
      </c>
      <c r="J26" s="182" t="s">
        <v>599</v>
      </c>
    </row>
    <row r="27" spans="1:14" x14ac:dyDescent="0.2">
      <c r="A27" s="181" t="s">
        <v>637</v>
      </c>
      <c r="B27" s="273">
        <v>8344519237.7600002</v>
      </c>
      <c r="C27" s="274">
        <v>8713543565.1599998</v>
      </c>
      <c r="D27" s="274">
        <v>9176606924.1499996</v>
      </c>
      <c r="E27" s="274">
        <v>9427327223</v>
      </c>
      <c r="F27" s="275">
        <v>9568593061.1499996</v>
      </c>
      <c r="G27" s="274">
        <v>9860676672.1499996</v>
      </c>
      <c r="H27" s="274">
        <v>9997181755.3500004</v>
      </c>
      <c r="I27" s="275">
        <v>10537062005.35</v>
      </c>
      <c r="J27" s="275">
        <f>I27+180000000</f>
        <v>10717062005.35</v>
      </c>
    </row>
    <row r="28" spans="1:14" x14ac:dyDescent="0.2">
      <c r="A28" s="181" t="s">
        <v>638</v>
      </c>
      <c r="B28" s="287">
        <v>8344519238</v>
      </c>
      <c r="C28" s="286">
        <v>8849792625.6230431</v>
      </c>
      <c r="D28" s="286">
        <v>9167401465.8259373</v>
      </c>
      <c r="E28" s="286">
        <v>9433844095.8322372</v>
      </c>
      <c r="F28" s="286">
        <v>9665546481.8715801</v>
      </c>
      <c r="G28" s="286">
        <v>9838523487.9859028</v>
      </c>
      <c r="H28" s="286">
        <v>9741253858.0821819</v>
      </c>
      <c r="I28" s="286">
        <v>10094390717.633223</v>
      </c>
      <c r="J28" s="286">
        <v>10415547851.257795</v>
      </c>
    </row>
    <row r="29" spans="1:14" x14ac:dyDescent="0.2">
      <c r="A29" s="181" t="s">
        <v>639</v>
      </c>
      <c r="B29" s="273">
        <v>6197469334.9200001</v>
      </c>
      <c r="C29" s="274">
        <v>6329755550.9099998</v>
      </c>
      <c r="D29" s="275">
        <v>6330333113.8799992</v>
      </c>
      <c r="E29" s="275">
        <v>6432393168.4099998</v>
      </c>
      <c r="F29" s="275">
        <v>6476328920.1199999</v>
      </c>
      <c r="G29" s="274">
        <v>6517455004.9200001</v>
      </c>
      <c r="H29" s="274">
        <v>6617318277.6199999</v>
      </c>
      <c r="I29" s="274">
        <v>6699131708.3199997</v>
      </c>
      <c r="J29" s="274">
        <f>6699131708.32-600000000</f>
        <v>6099131708.3199997</v>
      </c>
    </row>
    <row r="30" spans="1:14" x14ac:dyDescent="0.2">
      <c r="A30" s="181" t="s">
        <v>640</v>
      </c>
      <c r="B30" s="286">
        <v>6221014593.666666</v>
      </c>
      <c r="C30" s="286">
        <v>6221014593.666666</v>
      </c>
      <c r="D30" s="286">
        <v>6338769069</v>
      </c>
      <c r="E30" s="286">
        <v>6489770967.333334</v>
      </c>
      <c r="F30" s="286">
        <v>6615575573.666667</v>
      </c>
      <c r="G30" s="286">
        <v>6667975552.333334</v>
      </c>
      <c r="H30" s="286">
        <v>6734345304.333334</v>
      </c>
      <c r="I30" s="286">
        <v>6787925744.666667</v>
      </c>
      <c r="J30" s="286">
        <v>6791898728.333334</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5"/>
  <dimension ref="A4:G34"/>
  <sheetViews>
    <sheetView showGridLines="0" topLeftCell="B13" workbookViewId="0">
      <selection activeCell="C4" sqref="C4:F15"/>
    </sheetView>
  </sheetViews>
  <sheetFormatPr baseColWidth="10" defaultRowHeight="15" x14ac:dyDescent="0.2"/>
  <cols>
    <col min="3" max="3" width="25.21875" customWidth="1"/>
    <col min="4" max="4" width="17.5546875" customWidth="1"/>
    <col min="5" max="5" width="17.33203125" customWidth="1"/>
    <col min="6" max="6" width="0.21875" customWidth="1"/>
  </cols>
  <sheetData>
    <row r="4" spans="3:7" ht="39" x14ac:dyDescent="0.25">
      <c r="C4" s="288" t="s">
        <v>641</v>
      </c>
      <c r="D4" s="289"/>
      <c r="E4" s="290"/>
      <c r="F4" s="290"/>
      <c r="G4" s="277"/>
    </row>
    <row r="5" spans="3:7" ht="9" customHeight="1" x14ac:dyDescent="0.25">
      <c r="C5" s="290"/>
      <c r="D5" s="290"/>
      <c r="E5" s="290"/>
      <c r="F5" s="290"/>
      <c r="G5" s="277"/>
    </row>
    <row r="6" spans="3:7" ht="18" x14ac:dyDescent="0.25">
      <c r="C6" s="290" t="s">
        <v>615</v>
      </c>
      <c r="D6" s="290"/>
      <c r="E6" s="290"/>
      <c r="F6" s="290"/>
      <c r="G6" s="277"/>
    </row>
    <row r="7" spans="3:7" ht="9" customHeight="1" x14ac:dyDescent="0.25">
      <c r="C7" s="290"/>
      <c r="D7" s="290"/>
      <c r="E7" s="290"/>
      <c r="F7" s="290"/>
      <c r="G7" s="277"/>
    </row>
    <row r="8" spans="3:7" ht="18" x14ac:dyDescent="0.25">
      <c r="C8" s="1259" t="s">
        <v>612</v>
      </c>
      <c r="D8" s="1261" t="s">
        <v>613</v>
      </c>
      <c r="E8" s="1261" t="s">
        <v>614</v>
      </c>
      <c r="F8" s="290"/>
      <c r="G8" s="277"/>
    </row>
    <row r="9" spans="3:7" ht="18" x14ac:dyDescent="0.25">
      <c r="C9" s="1260"/>
      <c r="D9" s="1262"/>
      <c r="E9" s="1262"/>
      <c r="F9" s="290"/>
      <c r="G9" s="277"/>
    </row>
    <row r="10" spans="3:7" ht="18" x14ac:dyDescent="0.25">
      <c r="C10" s="291" t="s">
        <v>603</v>
      </c>
      <c r="D10" s="291" t="s">
        <v>607</v>
      </c>
      <c r="E10" s="292">
        <f>566700*25</f>
        <v>14167500</v>
      </c>
      <c r="F10" s="290"/>
      <c r="G10" s="277"/>
    </row>
    <row r="11" spans="3:7" ht="18" x14ac:dyDescent="0.25">
      <c r="C11" s="291" t="s">
        <v>604</v>
      </c>
      <c r="D11" s="291" t="s">
        <v>608</v>
      </c>
      <c r="E11" s="292">
        <f>566700*50</f>
        <v>28335000</v>
      </c>
      <c r="F11" s="290"/>
      <c r="G11" s="277"/>
    </row>
    <row r="12" spans="3:7" ht="18" x14ac:dyDescent="0.25">
      <c r="C12" s="291" t="s">
        <v>605</v>
      </c>
      <c r="D12" s="291" t="s">
        <v>609</v>
      </c>
      <c r="E12" s="292">
        <f>566700*75</f>
        <v>42502500</v>
      </c>
      <c r="F12" s="290"/>
      <c r="G12" s="277"/>
    </row>
    <row r="13" spans="3:7" ht="18" x14ac:dyDescent="0.25">
      <c r="C13" s="291" t="s">
        <v>606</v>
      </c>
      <c r="D13" s="291" t="s">
        <v>610</v>
      </c>
      <c r="E13" s="292">
        <f>566700*100</f>
        <v>56670000</v>
      </c>
      <c r="F13" s="290"/>
      <c r="G13" s="277"/>
    </row>
    <row r="14" spans="3:7" ht="19.149999999999999" customHeight="1" x14ac:dyDescent="0.25">
      <c r="C14" s="293" t="s">
        <v>616</v>
      </c>
      <c r="D14" s="290"/>
      <c r="E14" s="290"/>
      <c r="F14" s="290"/>
      <c r="G14" s="277"/>
    </row>
    <row r="15" spans="3:7" ht="34.9" customHeight="1" x14ac:dyDescent="0.25">
      <c r="C15" s="1258" t="s">
        <v>611</v>
      </c>
      <c r="D15" s="1258"/>
      <c r="E15" s="1258"/>
      <c r="F15" s="1258"/>
      <c r="G15" s="277"/>
    </row>
    <row r="19" spans="1:7" ht="18" x14ac:dyDescent="0.25">
      <c r="C19" s="276" t="s">
        <v>602</v>
      </c>
      <c r="D19" s="1263" t="s">
        <v>617</v>
      </c>
      <c r="E19" s="1264"/>
      <c r="F19" s="1264"/>
      <c r="G19" s="1264"/>
    </row>
    <row r="20" spans="1:7" ht="7.9" customHeight="1" x14ac:dyDescent="0.25">
      <c r="C20" s="277"/>
      <c r="D20" s="277"/>
      <c r="E20" s="277"/>
      <c r="F20" s="277"/>
      <c r="G20" s="277"/>
    </row>
    <row r="21" spans="1:7" ht="18" x14ac:dyDescent="0.25">
      <c r="C21" s="277" t="s">
        <v>618</v>
      </c>
      <c r="D21" s="277"/>
      <c r="E21" s="277"/>
      <c r="F21" s="277"/>
      <c r="G21" s="277"/>
    </row>
    <row r="22" spans="1:7" ht="7.9" customHeight="1" x14ac:dyDescent="0.25">
      <c r="C22" s="277"/>
      <c r="D22" s="277"/>
      <c r="E22" s="277"/>
      <c r="F22" s="277"/>
      <c r="G22" s="277"/>
    </row>
    <row r="23" spans="1:7" ht="18" x14ac:dyDescent="0.25">
      <c r="A23" s="207">
        <f>70/1283</f>
        <v>5.4559625876851127E-2</v>
      </c>
      <c r="C23" s="1265" t="s">
        <v>624</v>
      </c>
      <c r="D23" s="1267" t="s">
        <v>620</v>
      </c>
      <c r="E23" s="1267" t="s">
        <v>621</v>
      </c>
      <c r="F23" s="277"/>
      <c r="G23" s="277"/>
    </row>
    <row r="24" spans="1:7" ht="18" x14ac:dyDescent="0.25">
      <c r="C24" s="1266"/>
      <c r="D24" s="1268"/>
      <c r="E24" s="1268"/>
      <c r="F24" s="277"/>
      <c r="G24" s="277"/>
    </row>
    <row r="25" spans="1:7" ht="20.25" x14ac:dyDescent="0.3">
      <c r="A25" s="207">
        <f>260/1283</f>
        <v>0.20265003897116135</v>
      </c>
      <c r="C25" s="278" t="s">
        <v>619</v>
      </c>
      <c r="D25" s="278" t="s">
        <v>622</v>
      </c>
      <c r="E25" s="279" t="s">
        <v>623</v>
      </c>
      <c r="F25" s="277"/>
      <c r="G25" s="277"/>
    </row>
    <row r="26" spans="1:7" ht="20.25" x14ac:dyDescent="0.3">
      <c r="C26" s="278" t="s">
        <v>625</v>
      </c>
      <c r="D26" s="281">
        <v>8.5000000000000006E-2</v>
      </c>
      <c r="E26" s="281">
        <v>8.7499999999999994E-2</v>
      </c>
      <c r="F26" s="277"/>
      <c r="G26" s="277"/>
    </row>
    <row r="27" spans="1:7" ht="7.15" customHeight="1" x14ac:dyDescent="0.3">
      <c r="A27">
        <f>70-260</f>
        <v>-190</v>
      </c>
      <c r="C27" s="282"/>
      <c r="D27" s="283"/>
      <c r="E27" s="283"/>
      <c r="F27" s="277"/>
      <c r="G27" s="277"/>
    </row>
    <row r="28" spans="1:7" ht="18.75" x14ac:dyDescent="0.3">
      <c r="C28" s="280" t="s">
        <v>627</v>
      </c>
      <c r="D28" s="277"/>
      <c r="E28" s="277"/>
      <c r="F28" s="277"/>
      <c r="G28" s="277"/>
    </row>
    <row r="29" spans="1:7" ht="18" x14ac:dyDescent="0.25">
      <c r="B29" s="284" t="s">
        <v>626</v>
      </c>
      <c r="C29" s="1257" t="s">
        <v>628</v>
      </c>
      <c r="D29" s="1257"/>
      <c r="E29" s="1257"/>
      <c r="F29" s="1257"/>
      <c r="G29" s="277"/>
    </row>
    <row r="30" spans="1:7" ht="18" x14ac:dyDescent="0.25">
      <c r="C30" s="1257" t="s">
        <v>630</v>
      </c>
      <c r="D30" s="1257"/>
      <c r="E30" s="1257"/>
      <c r="F30" s="1257"/>
    </row>
    <row r="31" spans="1:7" ht="18" x14ac:dyDescent="0.25">
      <c r="C31" s="1257" t="s">
        <v>631</v>
      </c>
      <c r="D31" s="1257"/>
      <c r="E31" s="1257"/>
      <c r="F31" s="1257"/>
    </row>
    <row r="32" spans="1:7" ht="18" x14ac:dyDescent="0.25">
      <c r="B32" s="284" t="s">
        <v>629</v>
      </c>
      <c r="C32" s="285" t="s">
        <v>635</v>
      </c>
    </row>
    <row r="33" spans="2:3" ht="18" x14ac:dyDescent="0.25">
      <c r="B33" s="284" t="s">
        <v>632</v>
      </c>
      <c r="C33" s="285" t="s">
        <v>633</v>
      </c>
    </row>
    <row r="34" spans="2:3" ht="18" x14ac:dyDescent="0.25">
      <c r="B34" s="284" t="s">
        <v>634</v>
      </c>
      <c r="C34" s="285" t="s">
        <v>636</v>
      </c>
    </row>
  </sheetData>
  <mergeCells count="11">
    <mergeCell ref="C29:F29"/>
    <mergeCell ref="C30:F30"/>
    <mergeCell ref="C31:F31"/>
    <mergeCell ref="C15:F15"/>
    <mergeCell ref="C8:C9"/>
    <mergeCell ref="D8:D9"/>
    <mergeCell ref="E8:E9"/>
    <mergeCell ref="D19:G19"/>
    <mergeCell ref="C23:C24"/>
    <mergeCell ref="D23:D24"/>
    <mergeCell ref="E23:E24"/>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11"/>
  <dimension ref="A1"/>
  <sheetViews>
    <sheetView workbookViewId="0"/>
  </sheetViews>
  <sheetFormatPr baseColWidth="10" defaultRowHeight="15" x14ac:dyDescent="0.2"/>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pageSetUpPr fitToPage="1"/>
  </sheetPr>
  <dimension ref="F1:T45"/>
  <sheetViews>
    <sheetView showGridLines="0" topLeftCell="E1" zoomScale="90" zoomScaleNormal="90" workbookViewId="0">
      <selection activeCell="F1" sqref="F1:T28"/>
    </sheetView>
  </sheetViews>
  <sheetFormatPr baseColWidth="10" defaultColWidth="10.88671875" defaultRowHeight="15" x14ac:dyDescent="0.25"/>
  <cols>
    <col min="1" max="5" width="10.88671875" style="215"/>
    <col min="6" max="6" width="13.77734375" style="215" customWidth="1"/>
    <col min="7" max="7" width="13.109375" style="215" customWidth="1"/>
    <col min="8" max="8" width="4.77734375" style="215" customWidth="1"/>
    <col min="9" max="9" width="13" style="215" customWidth="1"/>
    <col min="10" max="10" width="4.6640625" style="215" customWidth="1"/>
    <col min="11" max="11" width="12" style="215" customWidth="1"/>
    <col min="12" max="12" width="5.5546875" style="215" customWidth="1"/>
    <col min="13" max="13" width="15.44140625" style="215" customWidth="1"/>
    <col min="14" max="14" width="6.21875" style="215" customWidth="1"/>
    <col min="15" max="15" width="12.33203125" style="215" customWidth="1"/>
    <col min="16" max="16" width="5.44140625" style="215" customWidth="1"/>
    <col min="17" max="17" width="12.6640625" style="215" customWidth="1"/>
    <col min="18" max="18" width="4.33203125" style="215" customWidth="1"/>
    <col min="19" max="19" width="12.33203125" style="215" customWidth="1"/>
    <col min="20" max="16384" width="10.88671875" style="215"/>
  </cols>
  <sheetData>
    <row r="1" spans="6:20" ht="23.25" x14ac:dyDescent="0.35">
      <c r="I1" s="1208" t="s">
        <v>521</v>
      </c>
      <c r="J1" s="1208"/>
      <c r="K1" s="1208"/>
      <c r="L1" s="1208"/>
      <c r="M1" s="1208"/>
      <c r="N1" s="1208"/>
      <c r="O1" s="1208"/>
      <c r="P1" s="1208"/>
      <c r="Q1" s="1208"/>
      <c r="R1" s="1208"/>
    </row>
    <row r="3" spans="6:20" ht="15.75" thickBot="1" x14ac:dyDescent="0.3">
      <c r="F3" s="216"/>
      <c r="G3" s="216"/>
      <c r="H3" s="216"/>
      <c r="I3" s="216"/>
      <c r="J3" s="216"/>
      <c r="K3" s="216"/>
      <c r="L3" s="216"/>
      <c r="M3" s="217" t="s">
        <v>522</v>
      </c>
      <c r="N3" s="216"/>
      <c r="O3" s="216"/>
      <c r="P3" s="216"/>
      <c r="Q3" s="216"/>
      <c r="R3" s="216"/>
      <c r="S3" s="216"/>
      <c r="T3" s="216"/>
    </row>
    <row r="4" spans="6:20" ht="16.5" thickBot="1" x14ac:dyDescent="0.3">
      <c r="F4" s="216"/>
      <c r="G4" s="218"/>
      <c r="H4" s="613"/>
      <c r="I4" s="614" t="s">
        <v>1042</v>
      </c>
      <c r="J4" s="613"/>
      <c r="K4" s="613"/>
      <c r="L4" s="216"/>
      <c r="M4" s="1204">
        <f>'Indicadores (2)'!G14</f>
        <v>2.3989379379441407</v>
      </c>
      <c r="N4" s="216"/>
      <c r="O4" s="216"/>
      <c r="P4" s="216"/>
      <c r="Q4" s="216"/>
      <c r="R4" s="216"/>
      <c r="S4" s="216"/>
      <c r="T4" s="216"/>
    </row>
    <row r="5" spans="6:20" ht="19.5" thickBot="1" x14ac:dyDescent="0.35">
      <c r="F5" s="216"/>
      <c r="G5" s="218"/>
      <c r="H5" s="219"/>
      <c r="I5" s="615" t="s">
        <v>1043</v>
      </c>
      <c r="J5" s="216"/>
      <c r="K5" s="221"/>
      <c r="L5" s="216"/>
      <c r="M5" s="1205"/>
      <c r="N5" s="216"/>
      <c r="O5" s="216"/>
      <c r="P5" s="216"/>
      <c r="Q5" s="216"/>
      <c r="R5" s="216"/>
      <c r="S5" s="216"/>
      <c r="T5" s="216"/>
    </row>
    <row r="6" spans="6:20" ht="14.45" customHeight="1" thickBot="1" x14ac:dyDescent="0.3">
      <c r="F6" s="216"/>
      <c r="G6" s="614" t="s">
        <v>1042</v>
      </c>
      <c r="H6" s="216"/>
      <c r="I6" s="216"/>
      <c r="J6" s="216"/>
      <c r="K6" s="216"/>
      <c r="L6" s="216"/>
      <c r="M6" s="216"/>
      <c r="N6" s="216"/>
      <c r="O6" s="217" t="s">
        <v>523</v>
      </c>
      <c r="P6" s="216"/>
      <c r="Q6" s="216"/>
      <c r="R6" s="216"/>
      <c r="S6" s="216"/>
      <c r="T6" s="216"/>
    </row>
    <row r="7" spans="6:20" ht="15" customHeight="1" thickBot="1" x14ac:dyDescent="0.35">
      <c r="F7" s="216"/>
      <c r="G7" s="615" t="s">
        <v>1044</v>
      </c>
      <c r="H7" s="216"/>
      <c r="I7" s="216"/>
      <c r="J7" s="216"/>
      <c r="K7" s="218"/>
      <c r="L7" s="216"/>
      <c r="M7" s="216"/>
      <c r="N7" s="216"/>
      <c r="O7" s="1204">
        <f>'Indicadores (2)'!G13</f>
        <v>1.1697937730113548E-2</v>
      </c>
      <c r="P7" s="216"/>
      <c r="Q7" s="216"/>
      <c r="R7" s="216"/>
      <c r="S7" s="216"/>
      <c r="T7" s="216"/>
    </row>
    <row r="8" spans="6:20" ht="15" customHeight="1" thickBot="1" x14ac:dyDescent="0.3">
      <c r="F8" s="216"/>
      <c r="G8" s="216"/>
      <c r="H8" s="216"/>
      <c r="I8" s="216"/>
      <c r="J8" s="216"/>
      <c r="K8" s="218"/>
      <c r="L8" s="216"/>
      <c r="M8" s="216"/>
      <c r="N8" s="216"/>
      <c r="O8" s="1205"/>
      <c r="P8" s="216"/>
      <c r="Q8" s="216"/>
      <c r="R8" s="216"/>
      <c r="S8" s="216"/>
      <c r="T8" s="216"/>
    </row>
    <row r="9" spans="6:20" ht="28.9" customHeight="1" thickBot="1" x14ac:dyDescent="0.3">
      <c r="F9" s="614" t="s">
        <v>1042</v>
      </c>
      <c r="G9" s="216"/>
      <c r="H9" s="216"/>
      <c r="I9" s="216"/>
      <c r="J9" s="216"/>
      <c r="K9" s="222" t="s">
        <v>524</v>
      </c>
      <c r="L9" s="216"/>
      <c r="M9" s="217" t="s">
        <v>525</v>
      </c>
      <c r="N9" s="216"/>
      <c r="O9" s="216"/>
      <c r="P9" s="216"/>
      <c r="Q9" s="216"/>
      <c r="R9" s="216"/>
      <c r="S9" s="216"/>
      <c r="T9" s="216"/>
    </row>
    <row r="10" spans="6:20" ht="15.6" customHeight="1" thickBot="1" x14ac:dyDescent="0.35">
      <c r="F10" s="616" t="s">
        <v>1045</v>
      </c>
      <c r="G10" s="216"/>
      <c r="H10" s="216"/>
      <c r="I10" s="216"/>
      <c r="J10" s="216"/>
      <c r="K10" s="1211" t="e">
        <f>'PYGCOM-CON AÑO ANTERIOR '!D92</f>
        <v>#REF!</v>
      </c>
      <c r="L10" s="216"/>
      <c r="M10" s="1204">
        <f>'Indicadores (2)'!G15</f>
        <v>1.1526499392775637E-2</v>
      </c>
      <c r="N10" s="216"/>
      <c r="O10" s="216"/>
      <c r="P10" s="216"/>
      <c r="Q10" s="216"/>
      <c r="R10" s="216"/>
      <c r="S10" s="216"/>
      <c r="T10" s="216"/>
    </row>
    <row r="11" spans="6:20" ht="15.6" customHeight="1" thickBot="1" x14ac:dyDescent="0.3">
      <c r="F11" s="216"/>
      <c r="G11" s="216"/>
      <c r="H11" s="216"/>
      <c r="I11" s="216"/>
      <c r="J11" s="216"/>
      <c r="K11" s="1212"/>
      <c r="L11" s="216"/>
      <c r="M11" s="1205"/>
      <c r="N11" s="216"/>
      <c r="O11" s="216"/>
      <c r="P11" s="216"/>
      <c r="Q11" s="216"/>
      <c r="R11" s="216"/>
      <c r="S11" s="216"/>
      <c r="T11" s="216"/>
    </row>
    <row r="12" spans="6:20" ht="16.5" thickBot="1" x14ac:dyDescent="0.3">
      <c r="F12" s="216"/>
      <c r="G12" s="216"/>
      <c r="H12" s="216"/>
      <c r="I12" s="216"/>
      <c r="J12" s="216"/>
      <c r="K12" s="218"/>
      <c r="L12" s="216"/>
      <c r="M12" s="217" t="s">
        <v>526</v>
      </c>
      <c r="N12" s="216"/>
      <c r="O12" s="216"/>
      <c r="P12" s="216"/>
      <c r="Q12" s="614" t="s">
        <v>1042</v>
      </c>
      <c r="R12" s="216"/>
      <c r="S12" s="216"/>
      <c r="T12" s="216"/>
    </row>
    <row r="13" spans="6:20" ht="20.25" thickTop="1" thickBot="1" x14ac:dyDescent="0.35">
      <c r="F13" s="216"/>
      <c r="G13" s="216"/>
      <c r="H13" s="216"/>
      <c r="I13" s="216"/>
      <c r="J13" s="216"/>
      <c r="K13" s="218"/>
      <c r="L13" s="216"/>
      <c r="M13" s="1206">
        <f>'PYGCOM-CON AÑO ANTERIOR '!D19</f>
        <v>0.44080461425523965</v>
      </c>
      <c r="N13" s="216"/>
      <c r="O13" s="216"/>
      <c r="P13" s="216"/>
      <c r="Q13" s="615" t="s">
        <v>1046</v>
      </c>
      <c r="R13" s="216"/>
      <c r="S13" s="216"/>
      <c r="T13" s="216"/>
    </row>
    <row r="14" spans="6:20" ht="15.75" thickBot="1" x14ac:dyDescent="0.3">
      <c r="F14" s="216"/>
      <c r="G14" s="217" t="s">
        <v>527</v>
      </c>
      <c r="H14" s="216"/>
      <c r="I14" s="217" t="s">
        <v>528</v>
      </c>
      <c r="J14" s="216"/>
      <c r="K14" s="216"/>
      <c r="L14" s="216"/>
      <c r="M14" s="1207"/>
      <c r="N14" s="216"/>
      <c r="O14" s="216"/>
      <c r="P14" s="216"/>
      <c r="Q14" s="216"/>
      <c r="R14" s="216"/>
      <c r="S14" s="216"/>
      <c r="T14" s="216"/>
    </row>
    <row r="15" spans="6:20" ht="15" customHeight="1" thickTop="1" thickBot="1" x14ac:dyDescent="0.3">
      <c r="F15" s="216"/>
      <c r="G15" s="1271" t="e">
        <f>'Indicadores (2)'!G24</f>
        <v>#REF!</v>
      </c>
      <c r="H15" s="216"/>
      <c r="I15" s="1211">
        <f>'Indicadores (2)'!G29</f>
        <v>9.3971019134788419E-2</v>
      </c>
      <c r="J15" s="216"/>
      <c r="K15" s="216"/>
      <c r="L15" s="216"/>
      <c r="M15" s="217" t="s">
        <v>529</v>
      </c>
      <c r="N15" s="216"/>
      <c r="O15" s="216"/>
      <c r="P15" s="216"/>
      <c r="Q15" s="216"/>
      <c r="R15" s="216"/>
      <c r="S15" s="216"/>
      <c r="T15" s="216"/>
    </row>
    <row r="16" spans="6:20" ht="16.5" thickBot="1" x14ac:dyDescent="0.3">
      <c r="F16" s="218"/>
      <c r="G16" s="1272"/>
      <c r="H16" s="218"/>
      <c r="I16" s="1212"/>
      <c r="J16" s="216"/>
      <c r="K16" s="216"/>
      <c r="L16" s="216"/>
      <c r="M16" s="1211" t="e">
        <f>'Indicadores (2)'!G28</f>
        <v>#REF!</v>
      </c>
      <c r="N16" s="216"/>
      <c r="O16" s="216"/>
      <c r="P16" s="216"/>
      <c r="Q16" s="216"/>
      <c r="R16" s="216"/>
      <c r="S16" s="216"/>
      <c r="T16" s="216"/>
    </row>
    <row r="17" spans="6:20" ht="15" customHeight="1" thickBot="1" x14ac:dyDescent="0.3">
      <c r="F17" s="216"/>
      <c r="G17" s="223"/>
      <c r="H17" s="216"/>
      <c r="I17" s="216"/>
      <c r="J17" s="216"/>
      <c r="K17" s="216"/>
      <c r="L17" s="216"/>
      <c r="M17" s="1212"/>
      <c r="N17" s="216"/>
      <c r="O17" s="217" t="s">
        <v>530</v>
      </c>
      <c r="P17" s="216"/>
      <c r="Q17" s="216"/>
      <c r="R17" s="216"/>
      <c r="S17" s="217" t="s">
        <v>531</v>
      </c>
      <c r="T17" s="216"/>
    </row>
    <row r="18" spans="6:20" ht="15" customHeight="1" x14ac:dyDescent="0.25">
      <c r="F18" s="216"/>
      <c r="G18" s="216"/>
      <c r="H18" s="216"/>
      <c r="I18" s="216"/>
      <c r="J18" s="216"/>
      <c r="K18" s="224"/>
      <c r="L18" s="216"/>
      <c r="M18" s="225"/>
      <c r="N18" s="216"/>
      <c r="O18" s="1204">
        <f>'Indicadores (2)'!G37</f>
        <v>0.75579363329790406</v>
      </c>
      <c r="P18" s="216"/>
      <c r="Q18" s="216"/>
      <c r="R18" s="216"/>
      <c r="S18" s="1204">
        <v>0.96009999999999995</v>
      </c>
      <c r="T18" s="216"/>
    </row>
    <row r="19" spans="6:20" ht="15.6" customHeight="1" thickBot="1" x14ac:dyDescent="0.3">
      <c r="F19" s="216"/>
      <c r="G19" s="216"/>
      <c r="H19" s="216"/>
      <c r="I19" s="216"/>
      <c r="J19" s="1210"/>
      <c r="K19" s="216"/>
      <c r="L19" s="218"/>
      <c r="M19" s="216"/>
      <c r="N19" s="216"/>
      <c r="O19" s="1205"/>
      <c r="P19" s="216"/>
      <c r="Q19" s="216"/>
      <c r="R19" s="216"/>
      <c r="S19" s="1205"/>
      <c r="T19" s="216"/>
    </row>
    <row r="20" spans="6:20" ht="16.5" thickBot="1" x14ac:dyDescent="0.3">
      <c r="F20" s="216"/>
      <c r="G20" s="216"/>
      <c r="H20" s="216"/>
      <c r="I20" s="216"/>
      <c r="J20" s="1210"/>
      <c r="K20" s="217" t="s">
        <v>587</v>
      </c>
      <c r="L20" s="218"/>
      <c r="M20" s="216"/>
      <c r="N20" s="216"/>
      <c r="O20" s="217" t="s">
        <v>534</v>
      </c>
      <c r="P20" s="216"/>
      <c r="Q20" s="217" t="s">
        <v>535</v>
      </c>
      <c r="R20" s="216"/>
      <c r="S20" s="217" t="s">
        <v>536</v>
      </c>
      <c r="T20" s="216"/>
    </row>
    <row r="21" spans="6:20" ht="16.149999999999999" customHeight="1" x14ac:dyDescent="0.25">
      <c r="F21" s="216"/>
      <c r="G21" s="216"/>
      <c r="H21" s="216"/>
      <c r="I21" s="226"/>
      <c r="J21" s="1210"/>
      <c r="K21" s="1269" t="e">
        <f>'EJE PRESUPUESTAL '!#REF!</f>
        <v>#REF!</v>
      </c>
      <c r="L21" s="216"/>
      <c r="M21" s="216"/>
      <c r="N21" s="216"/>
      <c r="O21" s="1204">
        <f>'Indicadores (2)'!G38</f>
        <v>5.449113021785832E-2</v>
      </c>
      <c r="P21" s="216"/>
      <c r="Q21" s="1204">
        <f>'Indicadores (2)'!G8</f>
        <v>0.13556482104680626</v>
      </c>
      <c r="R21" s="216"/>
      <c r="S21" s="1204">
        <v>0.94020000000000004</v>
      </c>
      <c r="T21" s="216"/>
    </row>
    <row r="22" spans="6:20" ht="16.5" thickBot="1" x14ac:dyDescent="0.3">
      <c r="F22" s="216"/>
      <c r="G22" s="216"/>
      <c r="H22" s="216"/>
      <c r="I22" s="226"/>
      <c r="J22" s="1210"/>
      <c r="K22" s="1270"/>
      <c r="L22" s="216"/>
      <c r="M22" s="217" t="s">
        <v>533</v>
      </c>
      <c r="N22" s="216"/>
      <c r="O22" s="1205"/>
      <c r="P22" s="216"/>
      <c r="Q22" s="1205"/>
      <c r="R22" s="216"/>
      <c r="S22" s="1205"/>
      <c r="T22" s="216"/>
    </row>
    <row r="23" spans="6:20" ht="28.9" customHeight="1" thickBot="1" x14ac:dyDescent="0.3">
      <c r="F23" s="216"/>
      <c r="G23" s="216"/>
      <c r="H23" s="216"/>
      <c r="I23" s="216"/>
      <c r="J23" s="1210"/>
      <c r="K23" s="216"/>
      <c r="L23" s="216"/>
      <c r="M23" s="1269">
        <v>1.05</v>
      </c>
      <c r="N23" s="216"/>
      <c r="O23" s="217" t="s">
        <v>537</v>
      </c>
      <c r="P23" s="216"/>
      <c r="Q23" s="216"/>
      <c r="R23" s="216"/>
      <c r="S23" s="217" t="s">
        <v>538</v>
      </c>
      <c r="T23" s="216"/>
    </row>
    <row r="24" spans="6:20" ht="16.5" thickBot="1" x14ac:dyDescent="0.3">
      <c r="F24" s="216"/>
      <c r="G24" s="216"/>
      <c r="H24" s="216"/>
      <c r="I24" s="226"/>
      <c r="J24" s="1210"/>
      <c r="K24" s="217" t="s">
        <v>532</v>
      </c>
      <c r="L24" s="216"/>
      <c r="M24" s="1270"/>
      <c r="N24" s="216"/>
      <c r="O24" s="1204">
        <f>'Indicadores (2)'!G39</f>
        <v>2.1770630055249849E-2</v>
      </c>
      <c r="P24" s="216"/>
      <c r="Q24" s="216"/>
      <c r="R24" s="216"/>
      <c r="S24" s="1204">
        <v>0.97046951124491365</v>
      </c>
      <c r="T24" s="216"/>
    </row>
    <row r="25" spans="6:20" ht="16.5" thickBot="1" x14ac:dyDescent="0.3">
      <c r="F25" s="216"/>
      <c r="G25" s="216"/>
      <c r="H25" s="216"/>
      <c r="I25" s="226"/>
      <c r="J25" s="1210"/>
      <c r="K25" s="1269" t="e">
        <f>'BALANCE AÑO ANTERIOR'!#REF!</f>
        <v>#REF!</v>
      </c>
      <c r="L25" s="216"/>
      <c r="M25" s="216"/>
      <c r="N25" s="216"/>
      <c r="O25" s="1205"/>
      <c r="P25" s="216"/>
      <c r="Q25" s="216"/>
      <c r="R25" s="216"/>
      <c r="S25" s="1205"/>
      <c r="T25" s="216"/>
    </row>
    <row r="26" spans="6:20" ht="15.75" thickBot="1" x14ac:dyDescent="0.3">
      <c r="F26" s="216"/>
      <c r="G26" s="216"/>
      <c r="H26" s="216"/>
      <c r="I26" s="227"/>
      <c r="J26" s="1210"/>
      <c r="K26" s="1270"/>
      <c r="L26" s="216"/>
      <c r="M26" s="216"/>
      <c r="N26" s="216"/>
      <c r="O26" s="216"/>
      <c r="P26" s="216"/>
      <c r="Q26" s="216"/>
      <c r="R26" s="216"/>
      <c r="S26" s="216"/>
      <c r="T26" s="216"/>
    </row>
    <row r="27" spans="6:20" ht="15.75" x14ac:dyDescent="0.25">
      <c r="F27" s="216"/>
      <c r="G27" s="216"/>
      <c r="H27" s="216"/>
      <c r="I27" s="226"/>
      <c r="J27" s="216"/>
      <c r="K27" s="216"/>
      <c r="L27" s="216"/>
      <c r="M27" s="216"/>
      <c r="N27" s="216"/>
      <c r="O27" s="216"/>
      <c r="P27" s="216"/>
      <c r="Q27" s="216"/>
      <c r="R27" s="216"/>
      <c r="S27" s="216"/>
      <c r="T27" s="216"/>
    </row>
    <row r="28" spans="6:20" ht="15.75" x14ac:dyDescent="0.25">
      <c r="F28" s="216"/>
      <c r="G28" s="216"/>
      <c r="H28" s="216"/>
      <c r="I28" s="226"/>
      <c r="J28" s="216"/>
      <c r="K28" s="216"/>
      <c r="L28" s="216"/>
      <c r="M28" s="216"/>
      <c r="N28" s="216"/>
      <c r="O28" s="216"/>
      <c r="P28" s="216"/>
      <c r="Q28" s="216"/>
      <c r="R28" s="216"/>
      <c r="S28" s="216"/>
      <c r="T28" s="216"/>
    </row>
    <row r="29" spans="6:20" x14ac:dyDescent="0.25">
      <c r="F29" s="216"/>
      <c r="G29" s="216"/>
      <c r="H29" s="216"/>
      <c r="I29" s="216"/>
      <c r="J29" s="216"/>
      <c r="K29" s="216"/>
      <c r="L29" s="216"/>
      <c r="M29" s="216"/>
      <c r="N29" s="216"/>
      <c r="O29" s="216"/>
      <c r="P29" s="216"/>
      <c r="Q29" s="216"/>
      <c r="R29" s="216"/>
      <c r="S29" s="216"/>
      <c r="T29" s="216"/>
    </row>
    <row r="30" spans="6:20" x14ac:dyDescent="0.25">
      <c r="F30" s="216"/>
      <c r="G30" s="216"/>
      <c r="H30" s="216"/>
      <c r="I30" s="216"/>
      <c r="J30" s="216"/>
      <c r="K30" s="216"/>
      <c r="L30" s="216"/>
      <c r="M30" s="216"/>
      <c r="N30" s="216"/>
      <c r="O30" s="216"/>
      <c r="P30" s="216"/>
      <c r="Q30" s="216"/>
      <c r="R30" s="216"/>
      <c r="S30" s="216"/>
      <c r="T30" s="216"/>
    </row>
    <row r="31" spans="6:20" x14ac:dyDescent="0.25">
      <c r="F31" s="216"/>
      <c r="G31" s="216"/>
      <c r="H31" s="216"/>
      <c r="I31" s="216"/>
      <c r="J31" s="216"/>
      <c r="K31" s="216"/>
      <c r="L31" s="216"/>
      <c r="M31" s="216"/>
      <c r="N31" s="216"/>
      <c r="O31" s="216"/>
      <c r="P31" s="216"/>
      <c r="Q31" s="216"/>
      <c r="R31" s="216"/>
      <c r="S31" s="216"/>
      <c r="T31" s="216"/>
    </row>
    <row r="32" spans="6:20" x14ac:dyDescent="0.25">
      <c r="F32" s="216"/>
      <c r="G32" s="216"/>
      <c r="H32" s="216"/>
      <c r="I32" s="216"/>
      <c r="J32" s="216"/>
      <c r="K32" s="216"/>
      <c r="L32" s="216"/>
      <c r="M32" s="216"/>
      <c r="N32" s="216"/>
      <c r="O32" s="216"/>
      <c r="P32" s="216"/>
      <c r="Q32" s="216"/>
      <c r="R32" s="216"/>
      <c r="S32" s="216"/>
      <c r="T32" s="216"/>
    </row>
    <row r="33" spans="6:20" x14ac:dyDescent="0.25">
      <c r="F33" s="216"/>
      <c r="G33" s="216"/>
      <c r="H33" s="216"/>
      <c r="I33" s="216"/>
      <c r="J33" s="216"/>
      <c r="K33" s="216"/>
      <c r="L33" s="216"/>
      <c r="M33" s="216"/>
      <c r="N33" s="216"/>
      <c r="O33" s="216"/>
      <c r="P33" s="216"/>
      <c r="Q33" s="216"/>
      <c r="R33" s="216"/>
      <c r="S33" s="216"/>
      <c r="T33" s="216"/>
    </row>
    <row r="34" spans="6:20" x14ac:dyDescent="0.25">
      <c r="F34" s="216"/>
      <c r="G34" s="216"/>
      <c r="H34" s="216"/>
      <c r="I34" s="216"/>
      <c r="J34" s="216"/>
      <c r="K34" s="216"/>
      <c r="L34" s="216"/>
      <c r="M34" s="216"/>
      <c r="N34" s="216"/>
      <c r="O34" s="216"/>
      <c r="P34" s="216"/>
      <c r="Q34" s="216"/>
      <c r="R34" s="216"/>
      <c r="S34" s="216"/>
      <c r="T34" s="216"/>
    </row>
    <row r="35" spans="6:20" x14ac:dyDescent="0.25">
      <c r="F35" s="216"/>
      <c r="G35" s="216"/>
      <c r="H35" s="216"/>
      <c r="I35" s="216"/>
      <c r="J35" s="216"/>
      <c r="K35" s="216"/>
      <c r="L35" s="216"/>
      <c r="M35" s="216"/>
      <c r="N35" s="216"/>
      <c r="O35" s="216"/>
      <c r="P35" s="216"/>
      <c r="Q35" s="216"/>
      <c r="R35" s="216"/>
      <c r="S35" s="216"/>
      <c r="T35" s="216"/>
    </row>
    <row r="36" spans="6:20" x14ac:dyDescent="0.25">
      <c r="F36" s="216"/>
      <c r="G36" s="216"/>
      <c r="H36" s="216"/>
      <c r="I36" s="216"/>
      <c r="J36" s="216"/>
      <c r="K36" s="216"/>
      <c r="L36" s="216"/>
      <c r="M36" s="216"/>
      <c r="N36" s="216"/>
      <c r="O36" s="216"/>
      <c r="P36" s="216"/>
      <c r="Q36" s="216"/>
      <c r="R36" s="216"/>
      <c r="S36" s="216"/>
      <c r="T36" s="216"/>
    </row>
    <row r="42" spans="6:20" x14ac:dyDescent="0.25">
      <c r="F42" s="228" t="s">
        <v>539</v>
      </c>
      <c r="G42" s="229" t="s">
        <v>540</v>
      </c>
      <c r="H42" s="230" t="s">
        <v>541</v>
      </c>
    </row>
    <row r="43" spans="6:20" ht="16.5" x14ac:dyDescent="0.35">
      <c r="F43" s="231" t="s">
        <v>542</v>
      </c>
      <c r="G43" s="231" t="s">
        <v>543</v>
      </c>
      <c r="H43" s="231" t="s">
        <v>544</v>
      </c>
    </row>
    <row r="44" spans="6:20" ht="16.5" x14ac:dyDescent="0.35">
      <c r="F44" s="231" t="s">
        <v>545</v>
      </c>
      <c r="G44" s="232" t="s">
        <v>546</v>
      </c>
      <c r="H44" s="232" t="s">
        <v>547</v>
      </c>
      <c r="I44" s="233">
        <v>0.50780000000000003</v>
      </c>
    </row>
    <row r="45" spans="6:20" x14ac:dyDescent="0.25">
      <c r="I45" s="215">
        <f>I44*0.9</f>
        <v>0.45702000000000004</v>
      </c>
      <c r="J45" s="215">
        <f>I44*1.1</f>
        <v>0.55858000000000008</v>
      </c>
    </row>
  </sheetData>
  <mergeCells count="20">
    <mergeCell ref="M23:M24"/>
    <mergeCell ref="O24:O25"/>
    <mergeCell ref="S24:S25"/>
    <mergeCell ref="K25:K26"/>
    <mergeCell ref="G15:G16"/>
    <mergeCell ref="I15:I16"/>
    <mergeCell ref="M16:M17"/>
    <mergeCell ref="O18:O19"/>
    <mergeCell ref="S18:S19"/>
    <mergeCell ref="J19:J26"/>
    <mergeCell ref="K21:K22"/>
    <mergeCell ref="O21:O22"/>
    <mergeCell ref="Q21:Q22"/>
    <mergeCell ref="S21:S22"/>
    <mergeCell ref="M13:M14"/>
    <mergeCell ref="I1:R1"/>
    <mergeCell ref="M4:M5"/>
    <mergeCell ref="O7:O8"/>
    <mergeCell ref="K10:K11"/>
    <mergeCell ref="M10:M11"/>
  </mergeCells>
  <conditionalFormatting sqref="M13:M14">
    <cfRule type="cellIs" dxfId="2" priority="1" stopIfTrue="1" operator="lessThan">
      <formula>0.0246</formula>
    </cfRule>
    <cfRule type="cellIs" dxfId="1" priority="2" stopIfTrue="1" operator="between">
      <formula>0.0301</formula>
      <formula>0.0246</formula>
    </cfRule>
    <cfRule type="cellIs" dxfId="0" priority="3" stopIfTrue="1" operator="greaterThan">
      <formula>0.0301</formula>
    </cfRule>
  </conditionalFormatting>
  <pageMargins left="0.70866141732283472" right="0.70866141732283472" top="0.74803149606299213" bottom="0.74803149606299213" header="0.31496062992125984" footer="0.31496062992125984"/>
  <pageSetup scale="6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Z127"/>
  <sheetViews>
    <sheetView showGridLines="0" zoomScale="115" zoomScaleNormal="115" workbookViewId="0">
      <pane ySplit="8" topLeftCell="A9" activePane="bottomLeft" state="frozen"/>
      <selection pane="bottomLeft" activeCell="N17" sqref="N17"/>
    </sheetView>
  </sheetViews>
  <sheetFormatPr baseColWidth="10" defaultRowHeight="20.100000000000001" customHeight="1" x14ac:dyDescent="0.25"/>
  <cols>
    <col min="1" max="1" width="33.109375" style="360" bestFit="1" customWidth="1"/>
    <col min="2" max="2" width="1.77734375" style="346" customWidth="1"/>
    <col min="3" max="3" width="11.5546875" style="360" customWidth="1"/>
    <col min="4" max="4" width="6.33203125" style="360" customWidth="1"/>
    <col min="5" max="5" width="1.77734375" style="360" customWidth="1"/>
    <col min="6" max="6" width="12.77734375" style="372" hidden="1" customWidth="1"/>
    <col min="7" max="7" width="9.6640625" style="360" hidden="1" customWidth="1"/>
    <col min="8" max="8" width="1.77734375" style="360" hidden="1" customWidth="1"/>
    <col min="9" max="9" width="12.21875" style="360" hidden="1" customWidth="1"/>
    <col min="10" max="10" width="8.33203125" style="360" hidden="1" customWidth="1"/>
    <col min="11" max="12" width="0" style="360" hidden="1" customWidth="1"/>
    <col min="13" max="16384" width="11.5546875" style="360"/>
  </cols>
  <sheetData>
    <row r="1" spans="1:14" ht="15.75" customHeight="1" x14ac:dyDescent="0.25">
      <c r="A1" s="1273" t="s">
        <v>116</v>
      </c>
      <c r="B1" s="1273"/>
      <c r="C1" s="1273"/>
      <c r="D1" s="1273"/>
      <c r="E1" s="1273"/>
      <c r="F1" s="1273"/>
      <c r="G1" s="1273"/>
      <c r="H1" s="1273"/>
      <c r="I1" s="1273"/>
      <c r="J1" s="1273"/>
    </row>
    <row r="2" spans="1:14" ht="24" customHeight="1" x14ac:dyDescent="0.25">
      <c r="A2" s="1273" t="s">
        <v>998</v>
      </c>
      <c r="B2" s="1273"/>
      <c r="C2" s="1273"/>
      <c r="D2" s="1273"/>
      <c r="E2" s="1273"/>
      <c r="F2" s="1273"/>
      <c r="G2" s="1273"/>
      <c r="H2" s="1273"/>
      <c r="I2" s="1273"/>
      <c r="J2" s="1273"/>
    </row>
    <row r="3" spans="1:14" ht="15.6" hidden="1" customHeight="1" x14ac:dyDescent="0.25">
      <c r="A3" s="350"/>
      <c r="C3" s="1181"/>
      <c r="D3" s="1181"/>
      <c r="E3" s="1181"/>
      <c r="F3" s="1181"/>
      <c r="G3" s="1181"/>
      <c r="H3" s="1181"/>
      <c r="I3" s="1181"/>
      <c r="J3" s="1181"/>
    </row>
    <row r="4" spans="1:14" ht="14.25" hidden="1" x14ac:dyDescent="0.25">
      <c r="A4" s="352"/>
      <c r="C4" s="348"/>
      <c r="D4" s="352"/>
      <c r="E4" s="352"/>
      <c r="F4" s="373"/>
      <c r="G4" s="352"/>
      <c r="H4" s="352"/>
      <c r="I4" s="352"/>
      <c r="J4" s="571"/>
    </row>
    <row r="5" spans="1:14" ht="14.25" hidden="1" x14ac:dyDescent="0.25">
      <c r="A5" s="352"/>
      <c r="C5" s="348"/>
      <c r="D5" s="352"/>
      <c r="E5" s="352"/>
      <c r="F5" s="373"/>
      <c r="G5" s="352"/>
      <c r="H5" s="352"/>
      <c r="I5" s="352"/>
      <c r="J5" s="352"/>
    </row>
    <row r="6" spans="1:14" ht="14.25" hidden="1" x14ac:dyDescent="0.25">
      <c r="A6" s="352"/>
      <c r="C6" s="348"/>
      <c r="D6" s="352"/>
      <c r="E6" s="352"/>
      <c r="F6" s="373"/>
      <c r="G6" s="352"/>
      <c r="H6" s="352"/>
      <c r="I6" s="352"/>
      <c r="J6" s="352"/>
    </row>
    <row r="7" spans="1:14" ht="23.25" customHeight="1" x14ac:dyDescent="0.25">
      <c r="A7" s="1200" t="s">
        <v>218</v>
      </c>
      <c r="C7" s="350"/>
      <c r="D7" s="357"/>
      <c r="E7" s="357"/>
      <c r="F7" s="350"/>
      <c r="G7" s="357"/>
      <c r="H7" s="357"/>
      <c r="I7" s="356"/>
      <c r="J7" s="356"/>
    </row>
    <row r="8" spans="1:14" ht="14.25" customHeight="1" x14ac:dyDescent="0.25">
      <c r="A8" s="1200"/>
      <c r="C8" s="383">
        <v>2015</v>
      </c>
      <c r="D8" s="384" t="s">
        <v>400</v>
      </c>
      <c r="E8" s="356"/>
      <c r="F8" s="383" t="s">
        <v>994</v>
      </c>
      <c r="G8" s="384" t="s">
        <v>400</v>
      </c>
      <c r="H8" s="356"/>
      <c r="I8" s="383" t="s">
        <v>392</v>
      </c>
      <c r="J8" s="384" t="s">
        <v>393</v>
      </c>
    </row>
    <row r="9" spans="1:14" ht="14.25" x14ac:dyDescent="0.25">
      <c r="A9" s="361" t="s">
        <v>387</v>
      </c>
      <c r="C9" s="477">
        <v>2580527448.2558389</v>
      </c>
      <c r="D9" s="362">
        <f>+C9/$C$11</f>
        <v>0.95556423613561003</v>
      </c>
      <c r="E9" s="356"/>
      <c r="F9" s="560">
        <f>2242295391.248-8000000</f>
        <v>2234295391.2480001</v>
      </c>
      <c r="G9" s="362">
        <f>+F9/$F$11</f>
        <v>1</v>
      </c>
      <c r="H9" s="356"/>
      <c r="I9" s="364">
        <f>C9-F9</f>
        <v>346232057.00783873</v>
      </c>
      <c r="J9" s="548">
        <f>I9/F9</f>
        <v>0.15496252570903146</v>
      </c>
      <c r="L9" s="570"/>
      <c r="N9" s="360">
        <f>C9/12*6</f>
        <v>1290263724.1279194</v>
      </c>
    </row>
    <row r="10" spans="1:14" ht="14.25" x14ac:dyDescent="0.25">
      <c r="A10" s="369" t="s">
        <v>996</v>
      </c>
      <c r="C10" s="569">
        <v>120000000</v>
      </c>
      <c r="D10" s="362"/>
      <c r="E10" s="356"/>
      <c r="F10" s="568"/>
      <c r="G10" s="362"/>
      <c r="H10" s="356"/>
      <c r="I10" s="568"/>
      <c r="J10" s="365"/>
      <c r="N10" s="360">
        <f>C10/12*6</f>
        <v>60000000</v>
      </c>
    </row>
    <row r="11" spans="1:14" ht="14.25" x14ac:dyDescent="0.25">
      <c r="A11" s="321" t="s">
        <v>401</v>
      </c>
      <c r="C11" s="313">
        <f>SUM(C9:C10)</f>
        <v>2700527448.2558389</v>
      </c>
      <c r="D11" s="366">
        <f>+C11/C11</f>
        <v>1</v>
      </c>
      <c r="E11" s="356"/>
      <c r="F11" s="313">
        <f>SUM(F9:F10)</f>
        <v>2234295391.2480001</v>
      </c>
      <c r="G11" s="366">
        <f>+F11/F11</f>
        <v>1</v>
      </c>
      <c r="H11" s="356"/>
      <c r="I11" s="313">
        <f>SUM(I9:I10)</f>
        <v>346232057.00783873</v>
      </c>
      <c r="J11" s="548">
        <f>I11/F11</f>
        <v>0.15496252570903146</v>
      </c>
    </row>
    <row r="12" spans="1:14" ht="14.25" x14ac:dyDescent="0.25">
      <c r="A12" s="296"/>
      <c r="C12" s="298"/>
      <c r="D12" s="374"/>
      <c r="E12" s="356"/>
      <c r="F12" s="298"/>
      <c r="G12" s="374"/>
      <c r="H12" s="356"/>
      <c r="I12" s="298"/>
      <c r="J12" s="304"/>
    </row>
    <row r="13" spans="1:14" ht="14.25" x14ac:dyDescent="0.25">
      <c r="A13" s="300"/>
      <c r="C13" s="301"/>
      <c r="D13" s="307"/>
      <c r="E13" s="356"/>
      <c r="F13" s="301"/>
      <c r="G13" s="307"/>
      <c r="H13" s="356"/>
      <c r="I13" s="565"/>
      <c r="J13" s="301"/>
    </row>
    <row r="14" spans="1:14" ht="14.25" x14ac:dyDescent="0.25">
      <c r="A14" s="1200" t="s">
        <v>222</v>
      </c>
      <c r="C14" s="294"/>
      <c r="D14" s="308"/>
      <c r="E14" s="356"/>
      <c r="F14" s="294"/>
      <c r="G14" s="308"/>
      <c r="H14" s="356"/>
      <c r="I14" s="332"/>
      <c r="J14" s="332"/>
    </row>
    <row r="15" spans="1:14" ht="14.25" x14ac:dyDescent="0.25">
      <c r="A15" s="1200"/>
      <c r="C15" s="383">
        <f>C8</f>
        <v>2015</v>
      </c>
      <c r="D15" s="384" t="s">
        <v>400</v>
      </c>
      <c r="E15" s="356"/>
      <c r="F15" s="383" t="str">
        <f>F8</f>
        <v>2014 Ajustado</v>
      </c>
      <c r="G15" s="384" t="s">
        <v>400</v>
      </c>
      <c r="H15" s="356"/>
      <c r="I15" s="383" t="s">
        <v>392</v>
      </c>
      <c r="J15" s="384" t="s">
        <v>393</v>
      </c>
    </row>
    <row r="16" spans="1:14" ht="14.25" x14ac:dyDescent="0.25">
      <c r="A16" s="312" t="s">
        <v>388</v>
      </c>
      <c r="C16" s="477">
        <v>397761290.61497444</v>
      </c>
      <c r="D16" s="317">
        <f>+C16/$C$11</f>
        <v>0.14729022320134991</v>
      </c>
      <c r="E16" s="356"/>
      <c r="F16" s="560">
        <v>318664656.05199999</v>
      </c>
      <c r="G16" s="317">
        <f>+F16/$F$11</f>
        <v>0.14262422833625635</v>
      </c>
      <c r="H16" s="356"/>
      <c r="I16" s="364">
        <f>C16-F16</f>
        <v>79096634.562974453</v>
      </c>
      <c r="J16" s="365">
        <f>I16/F16</f>
        <v>0.24821276241588397</v>
      </c>
      <c r="N16" s="360">
        <f>C16/12*6</f>
        <v>198880645.30748722</v>
      </c>
    </row>
    <row r="17" spans="1:26" ht="15.75" x14ac:dyDescent="0.25">
      <c r="A17" s="312" t="s">
        <v>54</v>
      </c>
      <c r="C17" s="562">
        <v>234633126</v>
      </c>
      <c r="D17" s="317">
        <f>+C17/$C$11</f>
        <v>8.6884184847497117E-2</v>
      </c>
      <c r="E17" s="356"/>
      <c r="F17" s="562">
        <v>235160000</v>
      </c>
      <c r="G17" s="317">
        <f>+F17/$F$11</f>
        <v>0.10525018353488513</v>
      </c>
      <c r="H17" s="356"/>
      <c r="I17" s="364">
        <f>C17-F17</f>
        <v>-526874</v>
      </c>
      <c r="J17" s="365">
        <f>I17/F17</f>
        <v>-2.2404915802007146E-3</v>
      </c>
      <c r="K17" s="567">
        <v>3.0852621137063368E-2</v>
      </c>
      <c r="L17" s="566">
        <v>3.9935219548363467E-2</v>
      </c>
      <c r="N17" s="360">
        <f>C17/12*6</f>
        <v>117316563</v>
      </c>
    </row>
    <row r="18" spans="1:26" ht="14.25" x14ac:dyDescent="0.25">
      <c r="A18" s="312" t="s">
        <v>389</v>
      </c>
      <c r="C18" s="477">
        <v>254044532.37620026</v>
      </c>
      <c r="D18" s="317">
        <f>+C18/$C$11</f>
        <v>9.4072190430901675E-2</v>
      </c>
      <c r="E18" s="356"/>
      <c r="F18" s="560">
        <v>174389935.82800001</v>
      </c>
      <c r="G18" s="317">
        <f>+F18/$F$11</f>
        <v>7.8051423509669343E-2</v>
      </c>
      <c r="H18" s="356"/>
      <c r="I18" s="364">
        <f>C18-F18</f>
        <v>79654596.54820025</v>
      </c>
      <c r="J18" s="365">
        <f>I18/F18</f>
        <v>0.45676143046903356</v>
      </c>
      <c r="N18" s="360">
        <f>C18/12*6</f>
        <v>127022266.18810013</v>
      </c>
    </row>
    <row r="19" spans="1:26" ht="14.25" x14ac:dyDescent="0.25">
      <c r="A19" s="321" t="s">
        <v>402</v>
      </c>
      <c r="C19" s="313">
        <f>SUM(C16:C18)</f>
        <v>886438948.9911747</v>
      </c>
      <c r="D19" s="314">
        <f>+C19/$C$11</f>
        <v>0.32824659847974869</v>
      </c>
      <c r="E19" s="356"/>
      <c r="F19" s="313">
        <f>SUM(F16:F18)</f>
        <v>728214591.88000011</v>
      </c>
      <c r="G19" s="314">
        <f>+F19/$F$11</f>
        <v>0.32592583538081088</v>
      </c>
      <c r="H19" s="356"/>
      <c r="I19" s="313">
        <f>C19-F19</f>
        <v>158224357.11117458</v>
      </c>
      <c r="J19" s="548">
        <f>I19/F19</f>
        <v>0.21727710330919572</v>
      </c>
    </row>
    <row r="20" spans="1:26" ht="14.25" x14ac:dyDescent="0.25">
      <c r="A20" s="321" t="s">
        <v>397</v>
      </c>
      <c r="C20" s="543">
        <f>+C11-C19</f>
        <v>1814088499.2646642</v>
      </c>
      <c r="D20" s="547">
        <f>+C20/$C$11</f>
        <v>0.67175340152025131</v>
      </c>
      <c r="E20" s="356"/>
      <c r="F20" s="543">
        <f>+F11-F19</f>
        <v>1506080799.368</v>
      </c>
      <c r="G20" s="547">
        <f>+F20/$F$11</f>
        <v>0.67407416461918912</v>
      </c>
      <c r="H20" s="356"/>
      <c r="I20" s="543">
        <f>C20-F20</f>
        <v>308007699.89666414</v>
      </c>
      <c r="J20" s="546">
        <f>I20/F20</f>
        <v>0.20450941279240403</v>
      </c>
      <c r="Z20" s="325">
        <v>77170854.322332278</v>
      </c>
    </row>
    <row r="21" spans="1:26" ht="14.25" x14ac:dyDescent="0.25">
      <c r="A21" s="296"/>
      <c r="C21" s="298"/>
      <c r="D21" s="297"/>
      <c r="E21" s="356"/>
      <c r="F21" s="298"/>
      <c r="G21" s="297"/>
      <c r="H21" s="356"/>
      <c r="I21" s="298"/>
      <c r="J21" s="299"/>
    </row>
    <row r="22" spans="1:26" ht="14.25" x14ac:dyDescent="0.25">
      <c r="A22" s="296"/>
      <c r="C22" s="298"/>
      <c r="D22" s="297"/>
      <c r="E22" s="356"/>
      <c r="F22" s="298"/>
      <c r="G22" s="297"/>
      <c r="H22" s="356"/>
      <c r="I22" s="298"/>
      <c r="J22" s="302"/>
    </row>
    <row r="23" spans="1:26" ht="14.25" x14ac:dyDescent="0.25">
      <c r="A23" s="1200" t="s">
        <v>224</v>
      </c>
      <c r="C23" s="350"/>
      <c r="D23" s="357"/>
      <c r="E23" s="356"/>
      <c r="F23" s="350"/>
      <c r="G23" s="357"/>
      <c r="H23" s="356"/>
      <c r="I23" s="356"/>
      <c r="J23" s="356"/>
    </row>
    <row r="24" spans="1:26" ht="14.25" x14ac:dyDescent="0.25">
      <c r="A24" s="1200"/>
      <c r="C24" s="383">
        <f>C15</f>
        <v>2015</v>
      </c>
      <c r="D24" s="384" t="s">
        <v>400</v>
      </c>
      <c r="E24" s="356"/>
      <c r="F24" s="383" t="str">
        <f>F15</f>
        <v>2014 Ajustado</v>
      </c>
      <c r="G24" s="384" t="s">
        <v>400</v>
      </c>
      <c r="H24" s="356"/>
      <c r="I24" s="383" t="s">
        <v>392</v>
      </c>
      <c r="J24" s="384" t="s">
        <v>393</v>
      </c>
    </row>
    <row r="25" spans="1:26" ht="14.25" x14ac:dyDescent="0.25">
      <c r="A25" s="361" t="s">
        <v>60</v>
      </c>
      <c r="C25" s="364">
        <v>296283624.06219</v>
      </c>
      <c r="D25" s="367">
        <f t="shared" ref="D25:D39" si="0">+C25/$C$11</f>
        <v>0.10971324296427631</v>
      </c>
      <c r="E25" s="356"/>
      <c r="F25" s="364">
        <f>286870683-5000000</f>
        <v>281870683</v>
      </c>
      <c r="G25" s="367">
        <f t="shared" ref="G25:G39" si="1">+F25/$F$11</f>
        <v>0.12615640890820473</v>
      </c>
      <c r="H25" s="356"/>
      <c r="I25" s="364">
        <f t="shared" ref="I25:I40" si="2">C25-F25</f>
        <v>14412941.062189996</v>
      </c>
      <c r="J25" s="365">
        <f t="shared" ref="J25:J38" si="3">I25/F25</f>
        <v>5.1133168262802259E-2</v>
      </c>
      <c r="N25" s="360">
        <f>C25/12*6</f>
        <v>148141812.031095</v>
      </c>
      <c r="P25" s="360">
        <v>25836427</v>
      </c>
    </row>
    <row r="26" spans="1:26" ht="14.25" x14ac:dyDescent="0.25">
      <c r="A26" s="361" t="s">
        <v>61</v>
      </c>
      <c r="C26" s="364">
        <v>6240000</v>
      </c>
      <c r="D26" s="367">
        <f t="shared" si="0"/>
        <v>2.3106597209482773E-3</v>
      </c>
      <c r="E26" s="356"/>
      <c r="F26" s="565">
        <v>5746680</v>
      </c>
      <c r="G26" s="367">
        <f t="shared" si="1"/>
        <v>2.57203233847701E-3</v>
      </c>
      <c r="H26" s="356"/>
      <c r="I26" s="364">
        <f t="shared" si="2"/>
        <v>493320</v>
      </c>
      <c r="J26" s="365">
        <f t="shared" si="3"/>
        <v>8.5844348388982861E-2</v>
      </c>
      <c r="N26" s="360">
        <f t="shared" ref="N26:N39" si="4">C26/12*6</f>
        <v>3120000</v>
      </c>
    </row>
    <row r="27" spans="1:26" ht="14.25" x14ac:dyDescent="0.25">
      <c r="A27" s="361" t="s">
        <v>62</v>
      </c>
      <c r="C27" s="364">
        <v>25210302.005182505</v>
      </c>
      <c r="D27" s="367">
        <f t="shared" si="0"/>
        <v>9.3353252237687191E-3</v>
      </c>
      <c r="E27" s="356"/>
      <c r="F27" s="364">
        <v>24378591</v>
      </c>
      <c r="G27" s="367">
        <f t="shared" si="1"/>
        <v>1.0911086822044135E-2</v>
      </c>
      <c r="H27" s="356"/>
      <c r="I27" s="364">
        <f t="shared" si="2"/>
        <v>831711.00518250465</v>
      </c>
      <c r="J27" s="365">
        <f t="shared" si="3"/>
        <v>3.4116450995158198E-2</v>
      </c>
      <c r="N27" s="360">
        <f t="shared" si="4"/>
        <v>12605151.002591252</v>
      </c>
    </row>
    <row r="28" spans="1:26" ht="14.25" x14ac:dyDescent="0.25">
      <c r="A28" s="361" t="s">
        <v>63</v>
      </c>
      <c r="C28" s="364">
        <v>3025236.2406219007</v>
      </c>
      <c r="D28" s="367">
        <f t="shared" si="0"/>
        <v>1.1202390268522462E-3</v>
      </c>
      <c r="E28" s="356"/>
      <c r="F28" s="364">
        <v>2995456</v>
      </c>
      <c r="G28" s="367">
        <f t="shared" si="1"/>
        <v>1.3406714312411672E-3</v>
      </c>
      <c r="H28" s="356"/>
      <c r="I28" s="364">
        <f t="shared" si="2"/>
        <v>29780.240621900652</v>
      </c>
      <c r="J28" s="365">
        <f t="shared" si="3"/>
        <v>9.9418053952054879E-3</v>
      </c>
      <c r="N28" s="360">
        <f t="shared" si="4"/>
        <v>1512618.1203109503</v>
      </c>
    </row>
    <row r="29" spans="1:26" ht="14.25" x14ac:dyDescent="0.25">
      <c r="A29" s="361" t="s">
        <v>64</v>
      </c>
      <c r="C29" s="364">
        <v>26961302.260365002</v>
      </c>
      <c r="D29" s="367">
        <f t="shared" si="0"/>
        <v>9.9837171726501854E-3</v>
      </c>
      <c r="E29" s="356"/>
      <c r="F29" s="364">
        <v>25887890</v>
      </c>
      <c r="G29" s="367">
        <f t="shared" si="1"/>
        <v>1.1586601351551784E-2</v>
      </c>
      <c r="H29" s="356"/>
      <c r="I29" s="364">
        <f t="shared" si="2"/>
        <v>1073412.2603650019</v>
      </c>
      <c r="J29" s="365">
        <f t="shared" si="3"/>
        <v>4.1463875980815815E-2</v>
      </c>
      <c r="N29" s="360">
        <f t="shared" si="4"/>
        <v>13480651.130182501</v>
      </c>
    </row>
    <row r="30" spans="1:26" ht="14.25" x14ac:dyDescent="0.25">
      <c r="A30" s="361" t="s">
        <v>65</v>
      </c>
      <c r="C30" s="364">
        <v>13751951.130182503</v>
      </c>
      <c r="D30" s="367">
        <f t="shared" si="0"/>
        <v>5.0923204424618345E-3</v>
      </c>
      <c r="E30" s="356"/>
      <c r="F30" s="364">
        <v>13334245</v>
      </c>
      <c r="G30" s="367">
        <f t="shared" si="1"/>
        <v>5.967986619957154E-3</v>
      </c>
      <c r="H30" s="356"/>
      <c r="I30" s="364">
        <f t="shared" si="2"/>
        <v>417706.13018250279</v>
      </c>
      <c r="J30" s="365">
        <f t="shared" si="3"/>
        <v>3.1325817860891468E-2</v>
      </c>
      <c r="N30" s="360">
        <f t="shared" si="4"/>
        <v>6875975.5650912505</v>
      </c>
    </row>
    <row r="31" spans="1:26" ht="14.25" x14ac:dyDescent="0.25">
      <c r="A31" s="361" t="s">
        <v>66</v>
      </c>
      <c r="C31" s="364">
        <v>64800000</v>
      </c>
      <c r="D31" s="367">
        <f t="shared" si="0"/>
        <v>2.3995312486770573E-2</v>
      </c>
      <c r="E31" s="356"/>
      <c r="F31" s="364">
        <f>59687544+2000000</f>
        <v>61687544</v>
      </c>
      <c r="G31" s="367">
        <f t="shared" si="1"/>
        <v>2.7609394998368356E-2</v>
      </c>
      <c r="H31" s="356"/>
      <c r="I31" s="364">
        <f t="shared" si="2"/>
        <v>3112456</v>
      </c>
      <c r="J31" s="365">
        <f t="shared" si="3"/>
        <v>5.0455177790835699E-2</v>
      </c>
      <c r="N31" s="360">
        <f t="shared" si="4"/>
        <v>32400000</v>
      </c>
    </row>
    <row r="32" spans="1:26" ht="14.25" x14ac:dyDescent="0.25">
      <c r="A32" s="361" t="s">
        <v>67</v>
      </c>
      <c r="C32" s="364">
        <v>28290302.005182501</v>
      </c>
      <c r="D32" s="367">
        <f t="shared" si="0"/>
        <v>1.0475843162954725E-2</v>
      </c>
      <c r="E32" s="356"/>
      <c r="F32" s="364">
        <f>23905890+3000000</f>
        <v>26905890</v>
      </c>
      <c r="G32" s="367">
        <f t="shared" si="1"/>
        <v>1.2042225976651772E-2</v>
      </c>
      <c r="H32" s="356"/>
      <c r="I32" s="364">
        <f t="shared" si="2"/>
        <v>1384412.0051825009</v>
      </c>
      <c r="J32" s="365">
        <f t="shared" si="3"/>
        <v>5.1453864012024911E-2</v>
      </c>
      <c r="N32" s="360">
        <f t="shared" si="4"/>
        <v>14145151.00259125</v>
      </c>
    </row>
    <row r="33" spans="1:14" ht="14.25" x14ac:dyDescent="0.25">
      <c r="A33" s="361" t="s">
        <v>68</v>
      </c>
      <c r="C33" s="364">
        <v>9540000</v>
      </c>
      <c r="D33" s="367">
        <f t="shared" si="0"/>
        <v>3.5326432272190008E-3</v>
      </c>
      <c r="E33" s="356"/>
      <c r="F33" s="364">
        <v>9240012</v>
      </c>
      <c r="G33" s="367">
        <f t="shared" si="1"/>
        <v>4.1355373314532276E-3</v>
      </c>
      <c r="H33" s="356"/>
      <c r="I33" s="364">
        <f t="shared" si="2"/>
        <v>299988</v>
      </c>
      <c r="J33" s="365">
        <f t="shared" si="3"/>
        <v>3.2466191602348565E-2</v>
      </c>
      <c r="N33" s="360">
        <f t="shared" si="4"/>
        <v>4770000</v>
      </c>
    </row>
    <row r="34" spans="1:14" ht="14.25" x14ac:dyDescent="0.25">
      <c r="A34" s="361" t="s">
        <v>69</v>
      </c>
      <c r="C34" s="364">
        <v>15797147.399999993</v>
      </c>
      <c r="D34" s="367">
        <f t="shared" si="0"/>
        <v>5.8496525966446776E-3</v>
      </c>
      <c r="E34" s="356"/>
      <c r="F34" s="364">
        <f>9744000+5000000</f>
        <v>14744000</v>
      </c>
      <c r="G34" s="367">
        <f t="shared" si="1"/>
        <v>6.5989484012516858E-3</v>
      </c>
      <c r="H34" s="356"/>
      <c r="I34" s="364">
        <f t="shared" si="2"/>
        <v>1053147.3999999929</v>
      </c>
      <c r="J34" s="365">
        <f t="shared" si="3"/>
        <v>7.1428879544220891E-2</v>
      </c>
      <c r="N34" s="360">
        <f t="shared" si="4"/>
        <v>7898573.6999999974</v>
      </c>
    </row>
    <row r="35" spans="1:14" ht="14.25" x14ac:dyDescent="0.25">
      <c r="A35" s="361" t="s">
        <v>225</v>
      </c>
      <c r="C35" s="364">
        <v>25184108.04528616</v>
      </c>
      <c r="D35" s="367">
        <f t="shared" si="0"/>
        <v>9.3256256519634907E-3</v>
      </c>
      <c r="E35" s="356"/>
      <c r="F35" s="364">
        <v>24384008</v>
      </c>
      <c r="G35" s="367">
        <f t="shared" si="1"/>
        <v>1.0913511300034475E-2</v>
      </c>
      <c r="H35" s="356"/>
      <c r="I35" s="364">
        <f t="shared" si="2"/>
        <v>800100.04528615996</v>
      </c>
      <c r="J35" s="365">
        <f t="shared" si="3"/>
        <v>3.2812491091955019E-2</v>
      </c>
      <c r="N35" s="360">
        <f t="shared" si="4"/>
        <v>12592054.022643078</v>
      </c>
    </row>
    <row r="36" spans="1:14" ht="14.25" x14ac:dyDescent="0.25">
      <c r="A36" s="361" t="s">
        <v>226</v>
      </c>
      <c r="C36" s="364">
        <v>35554034.88746281</v>
      </c>
      <c r="D36" s="367">
        <f t="shared" si="0"/>
        <v>1.3165589155713161E-2</v>
      </c>
      <c r="E36" s="356"/>
      <c r="F36" s="364">
        <v>34424482</v>
      </c>
      <c r="G36" s="367">
        <f t="shared" si="1"/>
        <v>1.5407310123292012E-2</v>
      </c>
      <c r="H36" s="356"/>
      <c r="I36" s="364">
        <f t="shared" si="2"/>
        <v>1129552.8874628097</v>
      </c>
      <c r="J36" s="365">
        <f t="shared" si="3"/>
        <v>3.2812487562276456E-2</v>
      </c>
      <c r="N36" s="360">
        <f t="shared" si="4"/>
        <v>17777017.443731405</v>
      </c>
    </row>
    <row r="37" spans="1:14" ht="14.25" x14ac:dyDescent="0.25">
      <c r="A37" s="361" t="s">
        <v>227</v>
      </c>
      <c r="C37" s="364">
        <v>5156971.2291731415</v>
      </c>
      <c r="D37" s="367">
        <f t="shared" si="0"/>
        <v>1.9096162982915874E-3</v>
      </c>
      <c r="E37" s="356"/>
      <c r="F37" s="364">
        <v>4999225</v>
      </c>
      <c r="G37" s="367">
        <f t="shared" si="1"/>
        <v>2.2374951045338754E-3</v>
      </c>
      <c r="H37" s="356"/>
      <c r="I37" s="364">
        <f t="shared" si="2"/>
        <v>157746.22917314153</v>
      </c>
      <c r="J37" s="365">
        <f t="shared" si="3"/>
        <v>3.155413672582081E-2</v>
      </c>
      <c r="N37" s="360">
        <f t="shared" si="4"/>
        <v>2578485.6145865708</v>
      </c>
    </row>
    <row r="38" spans="1:14" ht="14.25" x14ac:dyDescent="0.25">
      <c r="A38" s="361" t="s">
        <v>647</v>
      </c>
      <c r="C38" s="364">
        <v>26665526.165597096</v>
      </c>
      <c r="D38" s="367">
        <f t="shared" si="0"/>
        <v>9.874191866784867E-3</v>
      </c>
      <c r="E38" s="356"/>
      <c r="F38" s="364">
        <v>25818361</v>
      </c>
      <c r="G38" s="367">
        <f t="shared" si="1"/>
        <v>1.1555482368684812E-2</v>
      </c>
      <c r="H38" s="356"/>
      <c r="I38" s="364">
        <f t="shared" si="2"/>
        <v>847165.16559709609</v>
      </c>
      <c r="J38" s="365">
        <f t="shared" si="3"/>
        <v>3.2812507563787494E-2</v>
      </c>
      <c r="N38" s="360">
        <f t="shared" si="4"/>
        <v>13332763.082798548</v>
      </c>
    </row>
    <row r="39" spans="1:14" ht="14.25" x14ac:dyDescent="0.25">
      <c r="A39" s="361" t="s">
        <v>997</v>
      </c>
      <c r="C39" s="364">
        <v>2760000</v>
      </c>
      <c r="D39" s="367">
        <f t="shared" si="0"/>
        <v>1.0220225688809688E-3</v>
      </c>
      <c r="E39" s="356"/>
      <c r="F39" s="560">
        <v>10500000</v>
      </c>
      <c r="G39" s="367">
        <f t="shared" si="1"/>
        <v>4.6994681370823863E-3</v>
      </c>
      <c r="H39" s="356"/>
      <c r="I39" s="364">
        <f t="shared" si="2"/>
        <v>-7740000</v>
      </c>
      <c r="J39" s="365">
        <v>0</v>
      </c>
      <c r="N39" s="360">
        <f t="shared" si="4"/>
        <v>1380000</v>
      </c>
    </row>
    <row r="40" spans="1:14" ht="14.25" x14ac:dyDescent="0.25">
      <c r="A40" s="321" t="s">
        <v>403</v>
      </c>
      <c r="C40" s="364">
        <f>SUM(C25:C38)</f>
        <v>582460505.43124366</v>
      </c>
      <c r="D40" s="479">
        <f>C40/$C$11</f>
        <v>0.21568397899729969</v>
      </c>
      <c r="E40" s="356"/>
      <c r="F40" s="313">
        <f>SUM(F25:F39)</f>
        <v>566917067</v>
      </c>
      <c r="G40" s="479">
        <f>F40/F11</f>
        <v>0.2537341612128286</v>
      </c>
      <c r="H40" s="356"/>
      <c r="I40" s="313">
        <f t="shared" si="2"/>
        <v>15543438.431243658</v>
      </c>
      <c r="J40" s="545">
        <f>I40/F40</f>
        <v>2.7417481914058617E-2</v>
      </c>
    </row>
    <row r="41" spans="1:14" ht="14.25" x14ac:dyDescent="0.25">
      <c r="A41" s="296"/>
      <c r="C41" s="298"/>
      <c r="D41" s="374"/>
      <c r="E41" s="356"/>
      <c r="F41" s="298"/>
      <c r="G41" s="374"/>
      <c r="H41" s="356"/>
      <c r="I41" s="298"/>
      <c r="J41" s="304"/>
    </row>
    <row r="42" spans="1:14" ht="14.25" x14ac:dyDescent="0.25">
      <c r="A42" s="300"/>
      <c r="C42" s="301"/>
      <c r="D42" s="307"/>
      <c r="E42" s="356"/>
      <c r="F42" s="301"/>
      <c r="G42" s="307"/>
      <c r="H42" s="356"/>
      <c r="I42" s="301"/>
      <c r="J42" s="375"/>
    </row>
    <row r="43" spans="1:14" ht="14.25" x14ac:dyDescent="0.25">
      <c r="A43" s="1200" t="s">
        <v>229</v>
      </c>
      <c r="C43" s="294"/>
      <c r="D43" s="308"/>
      <c r="E43" s="356"/>
      <c r="F43" s="294"/>
      <c r="G43" s="308"/>
      <c r="H43" s="356"/>
      <c r="I43" s="332"/>
      <c r="J43" s="332"/>
    </row>
    <row r="44" spans="1:14" ht="14.25" x14ac:dyDescent="0.25">
      <c r="A44" s="1200"/>
      <c r="C44" s="383">
        <f>C24</f>
        <v>2015</v>
      </c>
      <c r="D44" s="384" t="s">
        <v>400</v>
      </c>
      <c r="E44" s="356"/>
      <c r="F44" s="383" t="str">
        <f>F24</f>
        <v>2014 Ajustado</v>
      </c>
      <c r="G44" s="384" t="s">
        <v>400</v>
      </c>
      <c r="H44" s="356"/>
      <c r="I44" s="383" t="s">
        <v>392</v>
      </c>
      <c r="J44" s="384" t="s">
        <v>393</v>
      </c>
    </row>
    <row r="45" spans="1:14" ht="15.75" customHeight="1" x14ac:dyDescent="0.25">
      <c r="A45" s="368" t="s">
        <v>230</v>
      </c>
      <c r="B45" s="564"/>
      <c r="C45" s="325">
        <v>8220000</v>
      </c>
      <c r="D45" s="317">
        <f t="shared" ref="D45:D87" si="5">+C45/$C$11</f>
        <v>3.0438498247107116E-3</v>
      </c>
      <c r="E45" s="356"/>
      <c r="F45" s="325">
        <v>7980000</v>
      </c>
      <c r="G45" s="317">
        <f t="shared" ref="G45:G82" si="6">+F45/$F$11</f>
        <v>3.5715957841826133E-3</v>
      </c>
      <c r="H45" s="356"/>
      <c r="I45" s="364">
        <f t="shared" ref="I45:I87" si="7">C45-F45</f>
        <v>240000</v>
      </c>
      <c r="J45" s="365">
        <f t="shared" ref="J45:J87" si="8">I45/F45</f>
        <v>3.007518796992481E-2</v>
      </c>
      <c r="N45" s="360">
        <f>C45/12*6</f>
        <v>4110000</v>
      </c>
    </row>
    <row r="46" spans="1:14" ht="15.75" customHeight="1" x14ac:dyDescent="0.25">
      <c r="A46" s="368" t="s">
        <v>231</v>
      </c>
      <c r="B46" s="559"/>
      <c r="C46" s="325">
        <v>15240000</v>
      </c>
      <c r="D46" s="317">
        <f t="shared" si="5"/>
        <v>5.6433420107775238E-3</v>
      </c>
      <c r="E46" s="356"/>
      <c r="F46" s="325">
        <v>14628000</v>
      </c>
      <c r="G46" s="317">
        <f t="shared" si="6"/>
        <v>6.5470304675467753E-3</v>
      </c>
      <c r="H46" s="356"/>
      <c r="I46" s="364">
        <f t="shared" si="7"/>
        <v>612000</v>
      </c>
      <c r="J46" s="365">
        <f t="shared" si="8"/>
        <v>4.1837571780147659E-2</v>
      </c>
      <c r="N46" s="360">
        <f>C46/12*6</f>
        <v>7620000</v>
      </c>
    </row>
    <row r="47" spans="1:14" ht="15.75" customHeight="1" x14ac:dyDescent="0.25">
      <c r="A47" s="368" t="s">
        <v>73</v>
      </c>
      <c r="B47" s="559"/>
      <c r="C47" s="325">
        <v>4116000</v>
      </c>
      <c r="D47" s="317">
        <f t="shared" si="5"/>
        <v>1.5241467005485752E-3</v>
      </c>
      <c r="E47" s="356"/>
      <c r="F47" s="325">
        <v>3950000</v>
      </c>
      <c r="G47" s="317">
        <f t="shared" si="6"/>
        <v>1.7678951563309929E-3</v>
      </c>
      <c r="H47" s="356"/>
      <c r="I47" s="364">
        <f t="shared" si="7"/>
        <v>166000</v>
      </c>
      <c r="J47" s="365">
        <f t="shared" si="8"/>
        <v>4.2025316455696203E-2</v>
      </c>
      <c r="N47" s="574">
        <f>C47/12*12</f>
        <v>4116000</v>
      </c>
    </row>
    <row r="48" spans="1:14" ht="15.75" customHeight="1" x14ac:dyDescent="0.25">
      <c r="A48" s="368" t="s">
        <v>643</v>
      </c>
      <c r="B48" s="559"/>
      <c r="C48" s="325">
        <v>4944000</v>
      </c>
      <c r="D48" s="317">
        <f t="shared" si="5"/>
        <v>1.8307534712128659E-3</v>
      </c>
      <c r="E48" s="356"/>
      <c r="F48" s="325">
        <v>5000000</v>
      </c>
      <c r="G48" s="317">
        <f t="shared" si="6"/>
        <v>2.2378419700392316E-3</v>
      </c>
      <c r="H48" s="356"/>
      <c r="I48" s="364">
        <f t="shared" si="7"/>
        <v>-56000</v>
      </c>
      <c r="J48" s="365">
        <f t="shared" si="8"/>
        <v>-1.12E-2</v>
      </c>
      <c r="M48" s="360" t="s">
        <v>1021</v>
      </c>
      <c r="N48" s="360">
        <f>C48/12*6</f>
        <v>2472000</v>
      </c>
    </row>
    <row r="49" spans="1:14" ht="15.75" customHeight="1" x14ac:dyDescent="0.25">
      <c r="A49" s="368" t="s">
        <v>493</v>
      </c>
      <c r="B49" s="559"/>
      <c r="C49" s="325">
        <v>5148000</v>
      </c>
      <c r="D49" s="317">
        <f t="shared" si="5"/>
        <v>1.9062942697823289E-3</v>
      </c>
      <c r="E49" s="356"/>
      <c r="F49" s="560">
        <v>4937784</v>
      </c>
      <c r="G49" s="317">
        <f t="shared" si="6"/>
        <v>2.2099960548376393E-3</v>
      </c>
      <c r="H49" s="356"/>
      <c r="I49" s="364">
        <f t="shared" si="7"/>
        <v>210216</v>
      </c>
      <c r="J49" s="365">
        <f t="shared" si="8"/>
        <v>4.2572943652456244E-2</v>
      </c>
      <c r="N49" s="360">
        <f>C49/12*6</f>
        <v>2574000</v>
      </c>
    </row>
    <row r="50" spans="1:14" ht="15.75" customHeight="1" x14ac:dyDescent="0.25">
      <c r="A50" s="368" t="s">
        <v>77</v>
      </c>
      <c r="B50" s="559"/>
      <c r="C50" s="325">
        <v>18432000</v>
      </c>
      <c r="D50" s="317">
        <f t="shared" si="5"/>
        <v>6.8253333295702958E-3</v>
      </c>
      <c r="E50" s="356"/>
      <c r="F50" s="325">
        <v>16000000</v>
      </c>
      <c r="G50" s="317">
        <f t="shared" si="6"/>
        <v>7.1610943041255405E-3</v>
      </c>
      <c r="H50" s="356"/>
      <c r="I50" s="364">
        <f t="shared" si="7"/>
        <v>2432000</v>
      </c>
      <c r="J50" s="365">
        <f t="shared" si="8"/>
        <v>0.152</v>
      </c>
      <c r="N50" s="360">
        <f>C50/12*6</f>
        <v>9216000</v>
      </c>
    </row>
    <row r="51" spans="1:14" ht="15.75" customHeight="1" x14ac:dyDescent="0.25">
      <c r="A51" s="368" t="s">
        <v>436</v>
      </c>
      <c r="B51" s="559"/>
      <c r="C51" s="325">
        <v>12768000</v>
      </c>
      <c r="D51" s="317">
        <f t="shared" si="5"/>
        <v>4.7279652751710905E-3</v>
      </c>
      <c r="E51" s="356"/>
      <c r="F51" s="560">
        <v>12188160</v>
      </c>
      <c r="G51" s="317">
        <f t="shared" si="6"/>
        <v>5.455035197110672E-3</v>
      </c>
      <c r="H51" s="356"/>
      <c r="I51" s="364">
        <f t="shared" si="7"/>
        <v>579840</v>
      </c>
      <c r="J51" s="365">
        <f t="shared" si="8"/>
        <v>4.7574039067422809E-2</v>
      </c>
      <c r="N51" s="360">
        <f>C51/12*6</f>
        <v>6384000</v>
      </c>
    </row>
    <row r="52" spans="1:14" ht="15.75" customHeight="1" x14ac:dyDescent="0.25">
      <c r="A52" s="368" t="s">
        <v>232</v>
      </c>
      <c r="B52" s="559"/>
      <c r="C52" s="325">
        <v>4992000</v>
      </c>
      <c r="D52" s="317">
        <f t="shared" si="5"/>
        <v>1.8485277767586218E-3</v>
      </c>
      <c r="E52" s="356"/>
      <c r="F52" s="325">
        <v>4850000</v>
      </c>
      <c r="G52" s="317">
        <f t="shared" si="6"/>
        <v>2.1707067109380546E-3</v>
      </c>
      <c r="H52" s="356"/>
      <c r="I52" s="364">
        <f t="shared" si="7"/>
        <v>142000</v>
      </c>
      <c r="J52" s="365">
        <f t="shared" si="8"/>
        <v>2.9278350515463916E-2</v>
      </c>
      <c r="N52" s="574">
        <f>C52/12*8</f>
        <v>3328000</v>
      </c>
    </row>
    <row r="53" spans="1:14" ht="15.75" customHeight="1" x14ac:dyDescent="0.25">
      <c r="A53" s="368" t="s">
        <v>233</v>
      </c>
      <c r="B53" s="559"/>
      <c r="C53" s="325">
        <v>9168000</v>
      </c>
      <c r="D53" s="317">
        <f t="shared" si="5"/>
        <v>3.3948923592393922E-3</v>
      </c>
      <c r="E53" s="356"/>
      <c r="F53" s="325">
        <v>8800000</v>
      </c>
      <c r="G53" s="317">
        <f t="shared" si="6"/>
        <v>3.9386018672690473E-3</v>
      </c>
      <c r="H53" s="356"/>
      <c r="I53" s="364">
        <f t="shared" si="7"/>
        <v>368000</v>
      </c>
      <c r="J53" s="365">
        <f t="shared" si="8"/>
        <v>4.1818181818181817E-2</v>
      </c>
      <c r="N53" s="360">
        <f>C53/12*6</f>
        <v>4584000</v>
      </c>
    </row>
    <row r="54" spans="1:14" ht="15.75" customHeight="1" x14ac:dyDescent="0.25">
      <c r="A54" s="368" t="s">
        <v>79</v>
      </c>
      <c r="B54" s="559"/>
      <c r="C54" s="325">
        <v>20184000</v>
      </c>
      <c r="D54" s="317">
        <f t="shared" si="5"/>
        <v>7.4740954819903895E-3</v>
      </c>
      <c r="E54" s="356"/>
      <c r="F54" s="325">
        <v>19500000</v>
      </c>
      <c r="G54" s="317">
        <f t="shared" si="6"/>
        <v>8.7275836831530017E-3</v>
      </c>
      <c r="H54" s="356"/>
      <c r="I54" s="364">
        <f t="shared" si="7"/>
        <v>684000</v>
      </c>
      <c r="J54" s="365">
        <f t="shared" si="8"/>
        <v>3.5076923076923075E-2</v>
      </c>
      <c r="N54" s="360">
        <f>C54/12*6</f>
        <v>10092000</v>
      </c>
    </row>
    <row r="55" spans="1:14" ht="15.75" customHeight="1" x14ac:dyDescent="0.25">
      <c r="A55" s="368" t="s">
        <v>234</v>
      </c>
      <c r="B55" s="559"/>
      <c r="C55" s="325">
        <v>16476000</v>
      </c>
      <c r="D55" s="317">
        <f t="shared" si="5"/>
        <v>6.10103037858074E-3</v>
      </c>
      <c r="E55" s="356"/>
      <c r="F55" s="325">
        <v>15700000</v>
      </c>
      <c r="G55" s="317">
        <f t="shared" si="6"/>
        <v>7.0268237859231865E-3</v>
      </c>
      <c r="H55" s="356"/>
      <c r="I55" s="364">
        <f t="shared" si="7"/>
        <v>776000</v>
      </c>
      <c r="J55" s="365">
        <f t="shared" si="8"/>
        <v>4.9426751592356689E-2</v>
      </c>
      <c r="N55" s="360">
        <f>C55/12*6</f>
        <v>8238000</v>
      </c>
    </row>
    <row r="56" spans="1:14" ht="15.75" customHeight="1" x14ac:dyDescent="0.25">
      <c r="A56" s="368" t="s">
        <v>81</v>
      </c>
      <c r="B56" s="559"/>
      <c r="C56" s="325">
        <v>9168000</v>
      </c>
      <c r="D56" s="317">
        <f t="shared" si="5"/>
        <v>3.3948923592393922E-3</v>
      </c>
      <c r="E56" s="356"/>
      <c r="F56" s="560">
        <v>8784408</v>
      </c>
      <c r="G56" s="317">
        <f t="shared" si="6"/>
        <v>3.9316233808696774E-3</v>
      </c>
      <c r="H56" s="356"/>
      <c r="I56" s="364">
        <f t="shared" si="7"/>
        <v>383592</v>
      </c>
      <c r="J56" s="365">
        <f t="shared" si="8"/>
        <v>4.3667370641254366E-2</v>
      </c>
      <c r="N56" s="360">
        <f>C56/12*6</f>
        <v>4584000</v>
      </c>
    </row>
    <row r="57" spans="1:14" ht="15.75" customHeight="1" x14ac:dyDescent="0.25">
      <c r="A57" s="368" t="s">
        <v>82</v>
      </c>
      <c r="B57" s="559"/>
      <c r="C57" s="325">
        <v>7728000</v>
      </c>
      <c r="D57" s="317">
        <f t="shared" si="5"/>
        <v>2.8616631928667126E-3</v>
      </c>
      <c r="E57" s="356"/>
      <c r="F57" s="560">
        <v>5782308</v>
      </c>
      <c r="G57" s="317">
        <f t="shared" si="6"/>
        <v>2.5879783052187217E-3</v>
      </c>
      <c r="H57" s="356"/>
      <c r="I57" s="364">
        <f t="shared" si="7"/>
        <v>1945692</v>
      </c>
      <c r="J57" s="365">
        <f t="shared" si="8"/>
        <v>0.33649055014018625</v>
      </c>
      <c r="N57" s="360">
        <f>C57/12*6</f>
        <v>3864000</v>
      </c>
    </row>
    <row r="58" spans="1:14" ht="15.75" customHeight="1" x14ac:dyDescent="0.25">
      <c r="A58" s="368" t="s">
        <v>83</v>
      </c>
      <c r="B58" s="559"/>
      <c r="C58" s="325">
        <v>17508000</v>
      </c>
      <c r="D58" s="317">
        <f t="shared" si="5"/>
        <v>6.4831779478144932E-3</v>
      </c>
      <c r="E58" s="356"/>
      <c r="F58" s="325">
        <v>17000000</v>
      </c>
      <c r="G58" s="317">
        <f t="shared" si="6"/>
        <v>7.6086626981333866E-3</v>
      </c>
      <c r="H58" s="356"/>
      <c r="I58" s="364">
        <f t="shared" si="7"/>
        <v>508000</v>
      </c>
      <c r="J58" s="365">
        <f t="shared" si="8"/>
        <v>2.9882352941176471E-2</v>
      </c>
      <c r="N58" s="574">
        <f>C58/12*8</f>
        <v>11672000</v>
      </c>
    </row>
    <row r="59" spans="1:14" ht="15.75" customHeight="1" x14ac:dyDescent="0.25">
      <c r="A59" s="368" t="s">
        <v>84</v>
      </c>
      <c r="B59" s="559"/>
      <c r="C59" s="325">
        <v>38112000</v>
      </c>
      <c r="D59" s="317">
        <f t="shared" si="5"/>
        <v>1.4112798603330248E-2</v>
      </c>
      <c r="E59" s="356"/>
      <c r="F59" s="325">
        <v>26000000</v>
      </c>
      <c r="G59" s="317">
        <f t="shared" si="6"/>
        <v>1.1636778244204003E-2</v>
      </c>
      <c r="H59" s="356"/>
      <c r="I59" s="364">
        <f t="shared" si="7"/>
        <v>12112000</v>
      </c>
      <c r="J59" s="365">
        <f t="shared" si="8"/>
        <v>0.46584615384615385</v>
      </c>
      <c r="N59" s="360">
        <f>C59/12*6</f>
        <v>19056000</v>
      </c>
    </row>
    <row r="60" spans="1:14" ht="15.75" customHeight="1" x14ac:dyDescent="0.25">
      <c r="A60" s="368" t="s">
        <v>85</v>
      </c>
      <c r="B60" s="559"/>
      <c r="C60" s="325">
        <v>5868000</v>
      </c>
      <c r="D60" s="317">
        <f t="shared" si="5"/>
        <v>2.1729088529686687E-3</v>
      </c>
      <c r="E60" s="356"/>
      <c r="F60" s="560">
        <v>5668800</v>
      </c>
      <c r="G60" s="317">
        <f t="shared" si="6"/>
        <v>2.5371757119516791E-3</v>
      </c>
      <c r="H60" s="356"/>
      <c r="I60" s="364">
        <f t="shared" si="7"/>
        <v>199200</v>
      </c>
      <c r="J60" s="365">
        <f t="shared" si="8"/>
        <v>3.513971210838273E-2</v>
      </c>
      <c r="N60" s="574">
        <f>C60/12*12</f>
        <v>5868000</v>
      </c>
    </row>
    <row r="61" spans="1:14" ht="15.75" customHeight="1" x14ac:dyDescent="0.25">
      <c r="A61" s="368" t="s">
        <v>86</v>
      </c>
      <c r="B61" s="559"/>
      <c r="C61" s="325">
        <v>18540000</v>
      </c>
      <c r="D61" s="317">
        <f t="shared" si="5"/>
        <v>6.8653255170482473E-3</v>
      </c>
      <c r="E61" s="356"/>
      <c r="F61" s="325">
        <v>17220000</v>
      </c>
      <c r="G61" s="317">
        <f t="shared" si="6"/>
        <v>7.7071277448151126E-3</v>
      </c>
      <c r="H61" s="356"/>
      <c r="I61" s="364">
        <f t="shared" si="7"/>
        <v>1320000</v>
      </c>
      <c r="J61" s="365">
        <f t="shared" si="8"/>
        <v>7.6655052264808357E-2</v>
      </c>
      <c r="N61" s="574">
        <f>C61/12*12</f>
        <v>18540000</v>
      </c>
    </row>
    <row r="62" spans="1:14" ht="15.75" customHeight="1" x14ac:dyDescent="0.25">
      <c r="A62" s="368" t="s">
        <v>87</v>
      </c>
      <c r="B62" s="559"/>
      <c r="C62" s="325">
        <v>22656000</v>
      </c>
      <c r="D62" s="317">
        <f t="shared" si="5"/>
        <v>8.3894722175968228E-3</v>
      </c>
      <c r="E62" s="356"/>
      <c r="F62" s="325">
        <v>21950000</v>
      </c>
      <c r="G62" s="317">
        <f t="shared" si="6"/>
        <v>9.8241262484722262E-3</v>
      </c>
      <c r="H62" s="356"/>
      <c r="I62" s="364">
        <f t="shared" si="7"/>
        <v>706000</v>
      </c>
      <c r="J62" s="365">
        <f t="shared" si="8"/>
        <v>3.2164009111617313E-2</v>
      </c>
      <c r="N62" s="360">
        <f>C62/12*6</f>
        <v>11328000</v>
      </c>
    </row>
    <row r="63" spans="1:14" ht="15.75" customHeight="1" x14ac:dyDescent="0.25">
      <c r="A63" s="368" t="s">
        <v>235</v>
      </c>
      <c r="B63" s="559"/>
      <c r="C63" s="325">
        <v>19872000</v>
      </c>
      <c r="D63" s="317">
        <f t="shared" si="5"/>
        <v>7.358562495942975E-3</v>
      </c>
      <c r="E63" s="356"/>
      <c r="F63" s="325">
        <v>20000000</v>
      </c>
      <c r="G63" s="317">
        <f t="shared" si="6"/>
        <v>8.9513678801569265E-3</v>
      </c>
      <c r="H63" s="356"/>
      <c r="I63" s="364">
        <f t="shared" si="7"/>
        <v>-128000</v>
      </c>
      <c r="J63" s="365">
        <f t="shared" si="8"/>
        <v>-6.4000000000000003E-3</v>
      </c>
      <c r="N63" s="360">
        <f>C63/12*6</f>
        <v>9936000</v>
      </c>
    </row>
    <row r="64" spans="1:14" ht="15.75" customHeight="1" x14ac:dyDescent="0.25">
      <c r="A64" s="368" t="s">
        <v>88</v>
      </c>
      <c r="B64" s="559"/>
      <c r="C64" s="325">
        <v>2160000</v>
      </c>
      <c r="D64" s="317">
        <f t="shared" si="5"/>
        <v>7.9984374955901908E-4</v>
      </c>
      <c r="E64" s="356"/>
      <c r="F64" s="325">
        <v>2064000</v>
      </c>
      <c r="G64" s="317">
        <f t="shared" si="6"/>
        <v>9.2378116523219472E-4</v>
      </c>
      <c r="H64" s="356"/>
      <c r="I64" s="364">
        <f t="shared" si="7"/>
        <v>96000</v>
      </c>
      <c r="J64" s="365">
        <f t="shared" si="8"/>
        <v>4.6511627906976744E-2</v>
      </c>
      <c r="N64" s="360">
        <f>C64/12*6</f>
        <v>1080000</v>
      </c>
    </row>
    <row r="65" spans="1:14" ht="15.75" customHeight="1" x14ac:dyDescent="0.25">
      <c r="A65" s="368" t="s">
        <v>90</v>
      </c>
      <c r="B65" s="559"/>
      <c r="C65" s="325">
        <v>10296000</v>
      </c>
      <c r="D65" s="317">
        <f t="shared" si="5"/>
        <v>3.8125885395646577E-3</v>
      </c>
      <c r="E65" s="356"/>
      <c r="F65" s="325">
        <v>9900000</v>
      </c>
      <c r="G65" s="317">
        <f t="shared" si="6"/>
        <v>4.4309271006776783E-3</v>
      </c>
      <c r="H65" s="356"/>
      <c r="I65" s="364">
        <f t="shared" si="7"/>
        <v>396000</v>
      </c>
      <c r="J65" s="365">
        <f t="shared" si="8"/>
        <v>0.04</v>
      </c>
      <c r="N65" s="360">
        <f>C65/12*6</f>
        <v>5148000</v>
      </c>
    </row>
    <row r="66" spans="1:14" ht="15.75" customHeight="1" x14ac:dyDescent="0.25">
      <c r="A66" s="368" t="s">
        <v>91</v>
      </c>
      <c r="B66" s="559"/>
      <c r="C66" s="325">
        <v>21636000</v>
      </c>
      <c r="D66" s="317">
        <f t="shared" si="5"/>
        <v>8.0117682247495079E-3</v>
      </c>
      <c r="E66" s="356"/>
      <c r="F66" s="325">
        <v>16140000</v>
      </c>
      <c r="G66" s="317">
        <f t="shared" si="6"/>
        <v>7.2237538792866395E-3</v>
      </c>
      <c r="H66" s="356"/>
      <c r="I66" s="364">
        <f t="shared" si="7"/>
        <v>5496000</v>
      </c>
      <c r="J66" s="365">
        <f t="shared" si="8"/>
        <v>0.34052044609665427</v>
      </c>
      <c r="N66" s="360">
        <f>C66/12*6</f>
        <v>10818000</v>
      </c>
    </row>
    <row r="67" spans="1:14" ht="15.75" customHeight="1" x14ac:dyDescent="0.25">
      <c r="A67" s="368" t="s">
        <v>438</v>
      </c>
      <c r="B67" s="559"/>
      <c r="C67" s="325">
        <v>2880000</v>
      </c>
      <c r="D67" s="317">
        <f t="shared" si="5"/>
        <v>1.0664583327453588E-3</v>
      </c>
      <c r="E67" s="356"/>
      <c r="F67" s="325">
        <v>3500000</v>
      </c>
      <c r="G67" s="317">
        <f t="shared" si="6"/>
        <v>1.5664893790274621E-3</v>
      </c>
      <c r="H67" s="356"/>
      <c r="I67" s="364">
        <f t="shared" si="7"/>
        <v>-620000</v>
      </c>
      <c r="J67" s="365">
        <f t="shared" si="8"/>
        <v>-0.17714285714285713</v>
      </c>
      <c r="N67" s="574">
        <f>C67/12*12</f>
        <v>2880000</v>
      </c>
    </row>
    <row r="68" spans="1:14" ht="15.75" customHeight="1" x14ac:dyDescent="0.25">
      <c r="A68" s="368" t="s">
        <v>93</v>
      </c>
      <c r="B68" s="559"/>
      <c r="C68" s="325">
        <v>1440000</v>
      </c>
      <c r="D68" s="317">
        <f t="shared" si="5"/>
        <v>5.3322916637267939E-4</v>
      </c>
      <c r="E68" s="356"/>
      <c r="F68" s="325">
        <v>1440000</v>
      </c>
      <c r="G68" s="317">
        <f t="shared" si="6"/>
        <v>6.4449848737129867E-4</v>
      </c>
      <c r="H68" s="356"/>
      <c r="I68" s="364">
        <f t="shared" si="7"/>
        <v>0</v>
      </c>
      <c r="J68" s="365">
        <f t="shared" si="8"/>
        <v>0</v>
      </c>
      <c r="N68" s="574">
        <f>C68/12*8</f>
        <v>960000</v>
      </c>
    </row>
    <row r="69" spans="1:14" ht="15.75" customHeight="1" x14ac:dyDescent="0.25">
      <c r="A69" s="368" t="s">
        <v>687</v>
      </c>
      <c r="B69" s="559"/>
      <c r="C69" s="325">
        <v>5148000</v>
      </c>
      <c r="D69" s="317">
        <f t="shared" si="5"/>
        <v>1.9062942697823289E-3</v>
      </c>
      <c r="E69" s="356"/>
      <c r="F69" s="325">
        <v>3000000</v>
      </c>
      <c r="G69" s="317">
        <f t="shared" si="6"/>
        <v>1.3427051820235388E-3</v>
      </c>
      <c r="H69" s="356"/>
      <c r="I69" s="364">
        <f t="shared" si="7"/>
        <v>2148000</v>
      </c>
      <c r="J69" s="365">
        <f t="shared" si="8"/>
        <v>0.71599999999999997</v>
      </c>
      <c r="N69" s="360">
        <f>C69/12*6</f>
        <v>2574000</v>
      </c>
    </row>
    <row r="70" spans="1:14" ht="15.75" customHeight="1" x14ac:dyDescent="0.25">
      <c r="A70" s="368" t="s">
        <v>236</v>
      </c>
      <c r="B70" s="559"/>
      <c r="C70" s="477">
        <v>18362188.958650228</v>
      </c>
      <c r="D70" s="317">
        <f t="shared" si="5"/>
        <v>6.7994824383324154E-3</v>
      </c>
      <c r="E70" s="356"/>
      <c r="F70" s="477">
        <v>21866260.508610647</v>
      </c>
      <c r="G70" s="317">
        <f t="shared" si="6"/>
        <v>9.7866470987960589E-3</v>
      </c>
      <c r="H70" s="356"/>
      <c r="I70" s="364">
        <f t="shared" si="7"/>
        <v>-3504071.5499604195</v>
      </c>
      <c r="J70" s="365">
        <f t="shared" si="8"/>
        <v>-0.16025015107546908</v>
      </c>
      <c r="N70" s="574">
        <f>C70/12*12</f>
        <v>18362188.958650228</v>
      </c>
    </row>
    <row r="71" spans="1:14" ht="15.75" customHeight="1" x14ac:dyDescent="0.25">
      <c r="A71" s="369" t="s">
        <v>437</v>
      </c>
      <c r="B71" s="559"/>
      <c r="C71" s="325">
        <v>14112000</v>
      </c>
      <c r="D71" s="317">
        <f t="shared" si="5"/>
        <v>5.2256458304522583E-3</v>
      </c>
      <c r="E71" s="356"/>
      <c r="F71" s="325">
        <v>13956000</v>
      </c>
      <c r="G71" s="317">
        <f t="shared" si="6"/>
        <v>6.246264506773503E-3</v>
      </c>
      <c r="H71" s="356"/>
      <c r="I71" s="364">
        <f t="shared" si="7"/>
        <v>156000</v>
      </c>
      <c r="J71" s="365">
        <f t="shared" si="8"/>
        <v>1.117798796216681E-2</v>
      </c>
      <c r="N71" s="360">
        <f>C71/12*6</f>
        <v>7056000</v>
      </c>
    </row>
    <row r="72" spans="1:14" ht="15.75" customHeight="1" x14ac:dyDescent="0.25">
      <c r="A72" s="369" t="s">
        <v>390</v>
      </c>
      <c r="B72" s="559"/>
      <c r="C72" s="325">
        <f>Z20*30%</f>
        <v>23151256.296699684</v>
      </c>
      <c r="D72" s="317">
        <f t="shared" si="5"/>
        <v>8.5728646497009835E-3</v>
      </c>
      <c r="E72" s="356"/>
      <c r="F72" s="560">
        <v>19791730.800000001</v>
      </c>
      <c r="G72" s="317">
        <f t="shared" si="6"/>
        <v>8.8581531687916271E-3</v>
      </c>
      <c r="H72" s="356"/>
      <c r="I72" s="364">
        <f t="shared" si="7"/>
        <v>3359525.4966996834</v>
      </c>
      <c r="J72" s="365">
        <f t="shared" si="8"/>
        <v>0.16974389610734211</v>
      </c>
      <c r="K72" s="389"/>
      <c r="L72" s="561"/>
      <c r="M72" s="325"/>
      <c r="N72" s="360">
        <f t="shared" ref="N72:N78" si="9">C72/12*6</f>
        <v>11575628.148349842</v>
      </c>
    </row>
    <row r="73" spans="1:14" ht="15.75" customHeight="1" x14ac:dyDescent="0.25">
      <c r="A73" s="368" t="s">
        <v>238</v>
      </c>
      <c r="B73" s="559"/>
      <c r="C73" s="325">
        <f>Z20*17%</f>
        <v>13119045.234796489</v>
      </c>
      <c r="D73" s="317">
        <f t="shared" si="5"/>
        <v>4.857956634830558E-3</v>
      </c>
      <c r="E73" s="356"/>
      <c r="F73" s="560">
        <v>11264797.199999999</v>
      </c>
      <c r="G73" s="317">
        <f t="shared" si="6"/>
        <v>5.0417671916280831E-3</v>
      </c>
      <c r="H73" s="356"/>
      <c r="I73" s="364">
        <f t="shared" si="7"/>
        <v>1854248.0347964894</v>
      </c>
      <c r="J73" s="365">
        <f t="shared" si="8"/>
        <v>0.16460554077231762</v>
      </c>
      <c r="K73" s="563"/>
      <c r="L73" s="561"/>
      <c r="M73" s="325"/>
      <c r="N73" s="360">
        <f t="shared" si="9"/>
        <v>6559522.6173982453</v>
      </c>
    </row>
    <row r="74" spans="1:14" ht="15.75" customHeight="1" x14ac:dyDescent="0.25">
      <c r="A74" s="368" t="s">
        <v>237</v>
      </c>
      <c r="B74" s="559"/>
      <c r="C74" s="325">
        <f>Z20*13%</f>
        <v>10032211.061903197</v>
      </c>
      <c r="D74" s="317">
        <f t="shared" si="5"/>
        <v>3.7149080148704268E-3</v>
      </c>
      <c r="E74" s="356"/>
      <c r="F74" s="560">
        <v>8679433.1999999993</v>
      </c>
      <c r="G74" s="317">
        <f t="shared" si="6"/>
        <v>3.8846399782223816E-3</v>
      </c>
      <c r="H74" s="356"/>
      <c r="I74" s="364">
        <f t="shared" si="7"/>
        <v>1352777.8619031981</v>
      </c>
      <c r="J74" s="365">
        <f t="shared" si="8"/>
        <v>0.1558601616869634</v>
      </c>
      <c r="K74" s="563"/>
      <c r="L74" s="561"/>
      <c r="M74" s="325"/>
      <c r="N74" s="360">
        <f t="shared" si="9"/>
        <v>5016105.5309515987</v>
      </c>
    </row>
    <row r="75" spans="1:14" ht="15.75" customHeight="1" x14ac:dyDescent="0.25">
      <c r="A75" s="369" t="s">
        <v>996</v>
      </c>
      <c r="B75" s="559"/>
      <c r="C75" s="562">
        <v>120000000</v>
      </c>
      <c r="D75" s="317">
        <f t="shared" si="5"/>
        <v>4.4435763864389945E-2</v>
      </c>
      <c r="E75" s="356"/>
      <c r="F75" s="325"/>
      <c r="G75" s="317">
        <f t="shared" si="6"/>
        <v>0</v>
      </c>
      <c r="H75" s="356"/>
      <c r="I75" s="364">
        <f t="shared" si="7"/>
        <v>120000000</v>
      </c>
      <c r="J75" s="365" t="e">
        <f t="shared" si="8"/>
        <v>#DIV/0!</v>
      </c>
      <c r="K75" s="389"/>
      <c r="L75" s="561"/>
      <c r="M75" s="325"/>
      <c r="N75" s="360">
        <f t="shared" si="9"/>
        <v>60000000</v>
      </c>
    </row>
    <row r="76" spans="1:14" ht="15.75" customHeight="1" x14ac:dyDescent="0.25">
      <c r="A76" s="369" t="s">
        <v>239</v>
      </c>
      <c r="B76" s="559"/>
      <c r="C76" s="325">
        <f>Z20*40%</f>
        <v>30868341.728932913</v>
      </c>
      <c r="D76" s="317">
        <f t="shared" si="5"/>
        <v>1.1430486199601313E-2</v>
      </c>
      <c r="E76" s="356"/>
      <c r="F76" s="413">
        <v>4500000</v>
      </c>
      <c r="G76" s="317">
        <f t="shared" si="6"/>
        <v>2.0140577730353082E-3</v>
      </c>
      <c r="H76" s="356"/>
      <c r="I76" s="364">
        <f t="shared" si="7"/>
        <v>26368341.728932913</v>
      </c>
      <c r="J76" s="365">
        <f t="shared" si="8"/>
        <v>5.8596314953184248</v>
      </c>
      <c r="K76" s="389"/>
      <c r="L76" s="561"/>
      <c r="M76" s="325"/>
      <c r="N76" s="360">
        <f t="shared" si="9"/>
        <v>15434170.864466457</v>
      </c>
    </row>
    <row r="77" spans="1:14" ht="15.75" customHeight="1" x14ac:dyDescent="0.25">
      <c r="A77" s="369" t="s">
        <v>240</v>
      </c>
      <c r="B77" s="559"/>
      <c r="C77" s="325">
        <v>2988000</v>
      </c>
      <c r="D77" s="317">
        <f t="shared" si="5"/>
        <v>1.1064505202233097E-3</v>
      </c>
      <c r="E77" s="356"/>
      <c r="F77" s="325">
        <v>2988000</v>
      </c>
      <c r="G77" s="317">
        <f t="shared" si="6"/>
        <v>1.3373343612954447E-3</v>
      </c>
      <c r="H77" s="356"/>
      <c r="I77" s="364">
        <f t="shared" si="7"/>
        <v>0</v>
      </c>
      <c r="J77" s="365">
        <f t="shared" si="8"/>
        <v>0</v>
      </c>
      <c r="K77" s="295"/>
      <c r="N77" s="360">
        <f t="shared" si="9"/>
        <v>1494000</v>
      </c>
    </row>
    <row r="78" spans="1:14" ht="15.75" customHeight="1" x14ac:dyDescent="0.25">
      <c r="A78" s="369" t="s">
        <v>241</v>
      </c>
      <c r="B78" s="559"/>
      <c r="C78" s="325">
        <v>21120000</v>
      </c>
      <c r="D78" s="317">
        <f t="shared" si="5"/>
        <v>7.8206944401326313E-3</v>
      </c>
      <c r="E78" s="356"/>
      <c r="F78" s="560">
        <v>19000000</v>
      </c>
      <c r="G78" s="317">
        <f t="shared" si="6"/>
        <v>8.5037994861490787E-3</v>
      </c>
      <c r="H78" s="356"/>
      <c r="I78" s="364">
        <f t="shared" si="7"/>
        <v>2120000</v>
      </c>
      <c r="J78" s="365">
        <f t="shared" si="8"/>
        <v>0.11157894736842106</v>
      </c>
      <c r="N78" s="360">
        <f t="shared" si="9"/>
        <v>10560000</v>
      </c>
    </row>
    <row r="79" spans="1:14" ht="15.75" customHeight="1" x14ac:dyDescent="0.25">
      <c r="A79" s="369" t="s">
        <v>242</v>
      </c>
      <c r="B79" s="559"/>
      <c r="C79" s="325">
        <v>7728000</v>
      </c>
      <c r="D79" s="317">
        <f t="shared" si="5"/>
        <v>2.8616631928667126E-3</v>
      </c>
      <c r="E79" s="356"/>
      <c r="F79" s="560">
        <v>5700000</v>
      </c>
      <c r="G79" s="317">
        <f t="shared" si="6"/>
        <v>2.5511398458447237E-3</v>
      </c>
      <c r="H79" s="356"/>
      <c r="I79" s="364">
        <f t="shared" si="7"/>
        <v>2028000</v>
      </c>
      <c r="J79" s="365">
        <f t="shared" si="8"/>
        <v>0.35578947368421054</v>
      </c>
      <c r="N79" s="574">
        <f>C79/12*7</f>
        <v>4508000</v>
      </c>
    </row>
    <row r="80" spans="1:14" ht="15.75" customHeight="1" x14ac:dyDescent="0.25">
      <c r="A80" s="369" t="s">
        <v>243</v>
      </c>
      <c r="B80" s="559"/>
      <c r="C80" s="325">
        <v>22165630.218123969</v>
      </c>
      <c r="D80" s="317">
        <f t="shared" si="5"/>
        <v>8.2078892523161917E-3</v>
      </c>
      <c r="E80" s="356"/>
      <c r="F80" s="477">
        <v>21808390.177124199</v>
      </c>
      <c r="G80" s="317">
        <f t="shared" si="6"/>
        <v>9.7607461674719675E-3</v>
      </c>
      <c r="H80" s="356"/>
      <c r="I80" s="364">
        <f t="shared" si="7"/>
        <v>357240.04099977016</v>
      </c>
      <c r="J80" s="365">
        <f t="shared" si="8"/>
        <v>1.6380853336643589E-2</v>
      </c>
      <c r="N80" s="360">
        <f t="shared" ref="N80:N85" si="10">C80/12*6</f>
        <v>11082815.109061984</v>
      </c>
    </row>
    <row r="81" spans="1:14" ht="15.75" customHeight="1" x14ac:dyDescent="0.25">
      <c r="A81" s="369" t="s">
        <v>244</v>
      </c>
      <c r="B81" s="559"/>
      <c r="C81" s="325">
        <v>163136500</v>
      </c>
      <c r="D81" s="317">
        <f t="shared" si="5"/>
        <v>6.0409124930525422E-2</v>
      </c>
      <c r="E81" s="356"/>
      <c r="F81" s="477">
        <v>129262500</v>
      </c>
      <c r="G81" s="317">
        <f t="shared" si="6"/>
        <v>5.7853809530439233E-2</v>
      </c>
      <c r="H81" s="356"/>
      <c r="I81" s="364">
        <f t="shared" si="7"/>
        <v>33874000</v>
      </c>
      <c r="J81" s="365">
        <f t="shared" si="8"/>
        <v>0.26205589401411855</v>
      </c>
      <c r="L81" s="360">
        <f>C81/2119</f>
        <v>76987.49410099104</v>
      </c>
      <c r="N81" s="360">
        <f t="shared" si="10"/>
        <v>81568250</v>
      </c>
    </row>
    <row r="82" spans="1:14" ht="15.75" customHeight="1" x14ac:dyDescent="0.25">
      <c r="A82" s="369" t="s">
        <v>245</v>
      </c>
      <c r="B82" s="559"/>
      <c r="C82" s="325">
        <v>11124000</v>
      </c>
      <c r="D82" s="317">
        <f t="shared" si="5"/>
        <v>4.1191953102289484E-3</v>
      </c>
      <c r="E82" s="356"/>
      <c r="F82" s="325">
        <v>9312000</v>
      </c>
      <c r="G82" s="317">
        <f t="shared" si="6"/>
        <v>4.1677568850010645E-3</v>
      </c>
      <c r="H82" s="356"/>
      <c r="I82" s="364">
        <f t="shared" si="7"/>
        <v>1812000</v>
      </c>
      <c r="J82" s="365">
        <f t="shared" si="8"/>
        <v>0.19458762886597938</v>
      </c>
      <c r="N82" s="360">
        <f t="shared" si="10"/>
        <v>5562000</v>
      </c>
    </row>
    <row r="83" spans="1:14" ht="15.75" customHeight="1" x14ac:dyDescent="0.25">
      <c r="A83" s="369" t="s">
        <v>642</v>
      </c>
      <c r="B83" s="559"/>
      <c r="C83" s="325">
        <v>3240000</v>
      </c>
      <c r="D83" s="317">
        <f t="shared" si="5"/>
        <v>1.1997656243385286E-3</v>
      </c>
      <c r="E83" s="356"/>
      <c r="F83" s="325">
        <v>3000000</v>
      </c>
      <c r="G83" s="317">
        <f>+F83/$C$11</f>
        <v>1.1108940966097487E-3</v>
      </c>
      <c r="H83" s="356"/>
      <c r="I83" s="364">
        <f t="shared" si="7"/>
        <v>240000</v>
      </c>
      <c r="J83" s="365">
        <f t="shared" si="8"/>
        <v>0.08</v>
      </c>
      <c r="N83" s="360">
        <f t="shared" si="10"/>
        <v>1620000</v>
      </c>
    </row>
    <row r="84" spans="1:14" ht="15.75" customHeight="1" x14ac:dyDescent="0.25">
      <c r="A84" s="480" t="s">
        <v>1020</v>
      </c>
      <c r="B84" s="481"/>
      <c r="C84" s="325">
        <v>6072000</v>
      </c>
      <c r="D84" s="317">
        <f t="shared" si="5"/>
        <v>2.2484496515381312E-3</v>
      </c>
      <c r="E84" s="356"/>
      <c r="F84" s="325">
        <v>20000000</v>
      </c>
      <c r="G84" s="317">
        <f>+F84/$C$11</f>
        <v>7.4059606440649911E-3</v>
      </c>
      <c r="H84" s="356"/>
      <c r="I84" s="364">
        <f t="shared" si="7"/>
        <v>-13928000</v>
      </c>
      <c r="J84" s="365">
        <f t="shared" si="8"/>
        <v>-0.69640000000000002</v>
      </c>
      <c r="N84" s="360">
        <f t="shared" si="10"/>
        <v>3036000</v>
      </c>
    </row>
    <row r="85" spans="1:14" ht="15.75" customHeight="1" x14ac:dyDescent="0.25">
      <c r="A85" s="480" t="s">
        <v>673</v>
      </c>
      <c r="B85" s="481"/>
      <c r="C85" s="325">
        <v>6180000</v>
      </c>
      <c r="D85" s="317">
        <f t="shared" si="5"/>
        <v>2.2884418390160823E-3</v>
      </c>
      <c r="E85" s="356"/>
      <c r="F85" s="325">
        <v>5600000</v>
      </c>
      <c r="G85" s="317">
        <f>+F85/$C$11</f>
        <v>2.0736689803381976E-3</v>
      </c>
      <c r="H85" s="356"/>
      <c r="I85" s="364">
        <f t="shared" si="7"/>
        <v>580000</v>
      </c>
      <c r="J85" s="365">
        <f t="shared" si="8"/>
        <v>0.10357142857142858</v>
      </c>
      <c r="N85" s="360">
        <f t="shared" si="10"/>
        <v>3090000</v>
      </c>
    </row>
    <row r="86" spans="1:14" ht="14.25" x14ac:dyDescent="0.25">
      <c r="A86" s="321" t="s">
        <v>246</v>
      </c>
      <c r="C86" s="543">
        <f>SUM(C45:C85)</f>
        <v>776099173.49910641</v>
      </c>
      <c r="D86" s="544">
        <f t="shared" si="5"/>
        <v>0.28738799674128745</v>
      </c>
      <c r="E86" s="356"/>
      <c r="F86" s="543">
        <f>SUM(F45:F85)</f>
        <v>568712571.8857348</v>
      </c>
      <c r="G86" s="544">
        <f>+F86/$F$11</f>
        <v>0.25453777245097015</v>
      </c>
      <c r="H86" s="356"/>
      <c r="I86" s="543">
        <f t="shared" si="7"/>
        <v>207386601.61337161</v>
      </c>
      <c r="J86" s="542">
        <f t="shared" si="8"/>
        <v>0.36465978046822489</v>
      </c>
    </row>
    <row r="87" spans="1:14" ht="14.25" x14ac:dyDescent="0.25">
      <c r="A87" s="321" t="s">
        <v>247</v>
      </c>
      <c r="C87" s="540">
        <f>+C19+C40+C86</f>
        <v>2244998627.921525</v>
      </c>
      <c r="D87" s="541">
        <f t="shared" si="5"/>
        <v>0.83131857421833599</v>
      </c>
      <c r="E87" s="356"/>
      <c r="F87" s="540">
        <f>SUM(F86,F40,F19)</f>
        <v>1863844230.7657349</v>
      </c>
      <c r="G87" s="541">
        <f>+F87/$F$11</f>
        <v>0.83419776904460963</v>
      </c>
      <c r="H87" s="356"/>
      <c r="I87" s="540">
        <f t="shared" si="7"/>
        <v>381154397.15579009</v>
      </c>
      <c r="J87" s="539">
        <f t="shared" si="8"/>
        <v>0.2044990621341774</v>
      </c>
    </row>
    <row r="88" spans="1:14" ht="14.25" x14ac:dyDescent="0.25">
      <c r="A88" s="376"/>
      <c r="C88" s="348"/>
      <c r="D88" s="377"/>
      <c r="E88" s="356"/>
      <c r="F88" s="348"/>
      <c r="G88" s="377"/>
      <c r="H88" s="356"/>
      <c r="I88" s="348"/>
      <c r="J88" s="416"/>
    </row>
    <row r="89" spans="1:14" ht="14.25" x14ac:dyDescent="0.25">
      <c r="A89" s="321" t="s">
        <v>398</v>
      </c>
      <c r="C89" s="313">
        <f>+C11-C87</f>
        <v>455528820.33431387</v>
      </c>
      <c r="D89" s="366">
        <f>C89/C11</f>
        <v>0.16868142578166404</v>
      </c>
      <c r="E89" s="356"/>
      <c r="F89" s="313">
        <f>+F11-F87</f>
        <v>370451160.48226523</v>
      </c>
      <c r="G89" s="366">
        <f>+F89/$F$11</f>
        <v>0.16580223095539037</v>
      </c>
      <c r="H89" s="356"/>
      <c r="I89" s="313">
        <f>C89-F89</f>
        <v>85077659.852048635</v>
      </c>
      <c r="J89" s="326">
        <f>I89/F89</f>
        <v>0.2296595851968497</v>
      </c>
    </row>
    <row r="90" spans="1:14" s="295" customFormat="1" ht="14.25" x14ac:dyDescent="0.25">
      <c r="A90" s="296"/>
      <c r="B90" s="346"/>
      <c r="C90" s="298"/>
      <c r="D90" s="374"/>
      <c r="E90" s="356"/>
      <c r="F90" s="298"/>
      <c r="G90" s="374"/>
      <c r="H90" s="356"/>
      <c r="I90" s="298"/>
      <c r="J90" s="299"/>
    </row>
    <row r="91" spans="1:14" ht="14.25" x14ac:dyDescent="0.25">
      <c r="A91" s="1200" t="s">
        <v>404</v>
      </c>
      <c r="C91" s="294"/>
      <c r="D91" s="308"/>
      <c r="E91" s="356"/>
      <c r="F91" s="294"/>
      <c r="G91" s="308"/>
      <c r="H91" s="356"/>
      <c r="I91" s="332"/>
      <c r="J91" s="332"/>
    </row>
    <row r="92" spans="1:14" ht="14.25" x14ac:dyDescent="0.25">
      <c r="A92" s="1200"/>
      <c r="C92" s="383">
        <f>C44</f>
        <v>2015</v>
      </c>
      <c r="D92" s="384" t="s">
        <v>400</v>
      </c>
      <c r="E92" s="356"/>
      <c r="F92" s="383" t="str">
        <f>F44</f>
        <v>2014 Ajustado</v>
      </c>
      <c r="G92" s="384" t="s">
        <v>400</v>
      </c>
      <c r="H92" s="356"/>
      <c r="I92" s="383" t="s">
        <v>392</v>
      </c>
      <c r="J92" s="384" t="s">
        <v>393</v>
      </c>
    </row>
    <row r="93" spans="1:14" ht="14.25" x14ac:dyDescent="0.25">
      <c r="A93" s="312" t="s">
        <v>249</v>
      </c>
      <c r="C93" s="318">
        <v>26549802.567401879</v>
      </c>
      <c r="D93" s="362">
        <f>+C93/$C$11</f>
        <v>9.8313396460936991E-3</v>
      </c>
      <c r="E93" s="356"/>
      <c r="F93" s="318">
        <v>26549802.567401879</v>
      </c>
      <c r="G93" s="362">
        <f>+F93/$F$11</f>
        <v>1.1882852496317453E-2</v>
      </c>
      <c r="H93" s="356"/>
      <c r="I93" s="364">
        <f>C93-F93</f>
        <v>0</v>
      </c>
      <c r="J93" s="365">
        <f>IF(F93&lt;&gt;0,I93/F93,0)</f>
        <v>0</v>
      </c>
      <c r="N93" s="360">
        <f>C93/12*5</f>
        <v>11062417.736417448</v>
      </c>
    </row>
    <row r="94" spans="1:14" ht="14.25" x14ac:dyDescent="0.25">
      <c r="A94" s="312" t="s">
        <v>682</v>
      </c>
      <c r="C94" s="318"/>
      <c r="D94" s="362">
        <v>0</v>
      </c>
      <c r="E94" s="356"/>
      <c r="F94" s="558">
        <v>9526661</v>
      </c>
      <c r="G94" s="362">
        <v>0</v>
      </c>
      <c r="H94" s="356"/>
      <c r="I94" s="364">
        <f>C94-F94</f>
        <v>-9526661</v>
      </c>
      <c r="J94" s="365">
        <f>IF(F94&lt;&gt;0,I94/F94,0)</f>
        <v>-1</v>
      </c>
    </row>
    <row r="95" spans="1:14" ht="14.25" x14ac:dyDescent="0.25">
      <c r="A95" s="361" t="s">
        <v>250</v>
      </c>
      <c r="C95" s="318"/>
      <c r="D95" s="362">
        <v>0</v>
      </c>
      <c r="E95" s="356"/>
      <c r="F95" s="364">
        <v>0</v>
      </c>
      <c r="G95" s="362">
        <v>0</v>
      </c>
      <c r="H95" s="356"/>
      <c r="I95" s="364">
        <f>C95-F95</f>
        <v>0</v>
      </c>
      <c r="J95" s="365">
        <f>IF(F95&lt;&gt;0,I95/F95,0)</f>
        <v>0</v>
      </c>
    </row>
    <row r="96" spans="1:14" ht="14.25" x14ac:dyDescent="0.25">
      <c r="A96" s="321" t="s">
        <v>405</v>
      </c>
      <c r="C96" s="313">
        <f>SUM(C93:C95)</f>
        <v>26549802.567401879</v>
      </c>
      <c r="D96" s="371">
        <f>+C96/$C$11</f>
        <v>9.8313396460936991E-3</v>
      </c>
      <c r="E96" s="356"/>
      <c r="F96" s="313">
        <f>SUM(F93:F95)</f>
        <v>36076463.567401879</v>
      </c>
      <c r="G96" s="371">
        <f>+F96/$F$11</f>
        <v>1.6146684860344637E-2</v>
      </c>
      <c r="H96" s="356"/>
      <c r="I96" s="313">
        <f>C96-F96</f>
        <v>-9526661</v>
      </c>
      <c r="J96" s="365">
        <f>IF(F96&lt;&gt;0,I96/F96,0)</f>
        <v>-0.26406859370240882</v>
      </c>
    </row>
    <row r="97" spans="1:10" s="295" customFormat="1" ht="14.25" x14ac:dyDescent="0.25">
      <c r="A97" s="309"/>
      <c r="B97" s="346"/>
      <c r="C97" s="378"/>
      <c r="D97" s="333"/>
      <c r="E97" s="356"/>
      <c r="F97" s="305"/>
      <c r="G97" s="378"/>
      <c r="H97" s="356"/>
      <c r="I97" s="378"/>
      <c r="J97" s="378"/>
    </row>
    <row r="98" spans="1:10" s="295" customFormat="1" ht="14.25" x14ac:dyDescent="0.25">
      <c r="A98" s="309"/>
      <c r="B98" s="346"/>
      <c r="C98" s="378"/>
      <c r="D98" s="333"/>
      <c r="E98" s="356"/>
      <c r="F98" s="305"/>
      <c r="G98" s="378"/>
      <c r="H98" s="356"/>
      <c r="I98" s="378"/>
      <c r="J98" s="378"/>
    </row>
    <row r="99" spans="1:10" ht="17.25" x14ac:dyDescent="0.3">
      <c r="A99" s="538" t="s">
        <v>399</v>
      </c>
      <c r="B99" s="537"/>
      <c r="C99" s="536">
        <f>+C89+C96</f>
        <v>482078622.90171576</v>
      </c>
      <c r="D99" s="535">
        <f>+C99/$C$11</f>
        <v>0.17851276542775774</v>
      </c>
      <c r="E99" s="534"/>
      <c r="F99" s="533">
        <f>+F89+F96</f>
        <v>406527624.04966712</v>
      </c>
      <c r="G99" s="557">
        <f>+F99/$F$11</f>
        <v>0.18194891581573502</v>
      </c>
      <c r="H99" s="534"/>
      <c r="I99" s="533">
        <f>C99-F99</f>
        <v>75550998.852048635</v>
      </c>
      <c r="J99" s="532">
        <f>I99/F99</f>
        <v>0.18584468651709204</v>
      </c>
    </row>
    <row r="100" spans="1:10" ht="20.100000000000001" customHeight="1" x14ac:dyDescent="0.25">
      <c r="A100" s="379"/>
      <c r="C100" s="380"/>
      <c r="D100" s="380"/>
      <c r="E100" s="380"/>
      <c r="F100" s="307"/>
      <c r="G100" s="380"/>
      <c r="H100" s="380"/>
      <c r="I100" s="380"/>
      <c r="J100" s="380"/>
    </row>
    <row r="101" spans="1:10" ht="20.100000000000001" customHeight="1" x14ac:dyDescent="0.25">
      <c r="A101" s="307"/>
      <c r="C101" s="418">
        <v>-1976564.8081300259</v>
      </c>
      <c r="D101" s="377"/>
      <c r="E101" s="377"/>
      <c r="F101" s="418">
        <v>452687624.04966736</v>
      </c>
      <c r="G101" s="377"/>
      <c r="H101" s="377"/>
      <c r="I101" s="377"/>
      <c r="J101" s="556">
        <v>6.9291850953576914E-2</v>
      </c>
    </row>
    <row r="102" spans="1:10" ht="20.100000000000001" customHeight="1" x14ac:dyDescent="0.25">
      <c r="A102" s="311" t="s">
        <v>450</v>
      </c>
      <c r="B102" s="346" t="s">
        <v>257</v>
      </c>
      <c r="C102" s="346"/>
      <c r="D102" s="346"/>
      <c r="E102" s="350"/>
      <c r="F102" s="350"/>
      <c r="G102" s="1181" t="s">
        <v>258</v>
      </c>
      <c r="H102" s="1181"/>
      <c r="I102" s="1181"/>
      <c r="J102" s="1181"/>
    </row>
    <row r="103" spans="1:10" ht="24.75" customHeight="1" x14ac:dyDescent="0.25">
      <c r="A103" s="417" t="s">
        <v>49</v>
      </c>
      <c r="C103" s="476" t="s">
        <v>646</v>
      </c>
      <c r="D103" s="357"/>
      <c r="E103" s="357"/>
      <c r="F103" s="357"/>
      <c r="G103" s="1201" t="s">
        <v>279</v>
      </c>
      <c r="H103" s="1201"/>
      <c r="I103" s="1201"/>
      <c r="J103" s="1201"/>
    </row>
    <row r="104" spans="1:10" ht="20.100000000000001" customHeight="1" x14ac:dyDescent="0.25">
      <c r="A104" s="295"/>
      <c r="C104" s="343"/>
      <c r="D104" s="343"/>
      <c r="E104" s="343"/>
      <c r="F104" s="381"/>
      <c r="G104" s="343"/>
      <c r="H104" s="343"/>
      <c r="I104" s="343"/>
      <c r="J104" s="343"/>
    </row>
    <row r="105" spans="1:10" ht="20.100000000000001" customHeight="1" x14ac:dyDescent="0.25">
      <c r="A105" s="295" t="s">
        <v>435</v>
      </c>
      <c r="C105" s="343">
        <f>C99+SUM(C70:C76)</f>
        <v>711723666.18269825</v>
      </c>
      <c r="D105" s="343"/>
      <c r="E105" s="343"/>
      <c r="F105" s="343">
        <f>F99+SUM(F70:F76)</f>
        <v>486585845.75827777</v>
      </c>
      <c r="G105" s="343"/>
      <c r="H105" s="343"/>
      <c r="I105" s="343"/>
      <c r="J105" s="343"/>
    </row>
    <row r="106" spans="1:10" ht="20.100000000000001" customHeight="1" x14ac:dyDescent="0.25">
      <c r="C106" s="343"/>
      <c r="D106" s="343"/>
      <c r="E106" s="343"/>
      <c r="F106" s="381"/>
      <c r="G106" s="343"/>
      <c r="H106" s="343"/>
      <c r="I106" s="343"/>
      <c r="J106" s="343"/>
    </row>
    <row r="107" spans="1:10" ht="20.100000000000001" customHeight="1" x14ac:dyDescent="0.25">
      <c r="A107" s="555"/>
      <c r="C107" s="350"/>
      <c r="D107" s="357"/>
      <c r="E107" s="357"/>
      <c r="F107" s="350"/>
      <c r="G107" s="357"/>
      <c r="H107" s="357"/>
      <c r="I107" s="356"/>
      <c r="J107" s="356"/>
    </row>
    <row r="108" spans="1:10" ht="20.100000000000001" customHeight="1" x14ac:dyDescent="0.25">
      <c r="A108" s="554" t="s">
        <v>995</v>
      </c>
      <c r="C108" s="383">
        <v>2015</v>
      </c>
      <c r="D108" s="384" t="s">
        <v>400</v>
      </c>
      <c r="E108" s="356"/>
      <c r="F108" s="383" t="s">
        <v>994</v>
      </c>
      <c r="G108" s="384" t="s">
        <v>400</v>
      </c>
      <c r="H108" s="356"/>
      <c r="I108" s="383" t="s">
        <v>392</v>
      </c>
      <c r="J108" s="384" t="s">
        <v>393</v>
      </c>
    </row>
    <row r="109" spans="1:10" ht="20.100000000000001" customHeight="1" x14ac:dyDescent="0.25">
      <c r="A109" s="321" t="s">
        <v>401</v>
      </c>
      <c r="C109" s="313">
        <f>C11</f>
        <v>2700527448.2558389</v>
      </c>
      <c r="D109" s="366">
        <f>+C109/C109</f>
        <v>1</v>
      </c>
      <c r="E109" s="356"/>
      <c r="F109" s="313">
        <f>F11</f>
        <v>2234295391.2480001</v>
      </c>
      <c r="G109" s="366">
        <f>+F109/F109</f>
        <v>1</v>
      </c>
      <c r="H109" s="356"/>
      <c r="I109" s="313">
        <f>C109-F109</f>
        <v>466232057.00783873</v>
      </c>
      <c r="J109" s="548">
        <f>I109/F109</f>
        <v>0.20867073298997302</v>
      </c>
    </row>
    <row r="110" spans="1:10" ht="20.100000000000001" customHeight="1" x14ac:dyDescent="0.25">
      <c r="A110" s="553"/>
      <c r="B110" s="552"/>
      <c r="C110" s="550"/>
      <c r="D110" s="549"/>
      <c r="E110" s="551"/>
      <c r="F110" s="550"/>
      <c r="G110" s="549"/>
      <c r="H110" s="551"/>
      <c r="I110" s="550"/>
      <c r="J110" s="549"/>
    </row>
    <row r="111" spans="1:10" ht="20.100000000000001" customHeight="1" x14ac:dyDescent="0.25">
      <c r="A111" s="321" t="s">
        <v>402</v>
      </c>
      <c r="C111" s="313">
        <f>C19</f>
        <v>886438948.9911747</v>
      </c>
      <c r="D111" s="314">
        <f>C111/C109</f>
        <v>0.32824659847974869</v>
      </c>
      <c r="E111" s="356"/>
      <c r="F111" s="313">
        <f>F19</f>
        <v>728214591.88000011</v>
      </c>
      <c r="G111" s="314">
        <f>F111/F109</f>
        <v>0.32592583538081088</v>
      </c>
      <c r="H111" s="356"/>
      <c r="I111" s="313">
        <f>C111-F111</f>
        <v>158224357.11117458</v>
      </c>
      <c r="J111" s="548">
        <f>I111/F111</f>
        <v>0.21727710330919572</v>
      </c>
    </row>
    <row r="112" spans="1:10" ht="20.100000000000001" customHeight="1" x14ac:dyDescent="0.25">
      <c r="A112" s="321" t="s">
        <v>397</v>
      </c>
      <c r="C112" s="543">
        <f>C109-C111</f>
        <v>1814088499.2646642</v>
      </c>
      <c r="D112" s="547">
        <f>C112/C109</f>
        <v>0.67175340152025131</v>
      </c>
      <c r="E112" s="356"/>
      <c r="F112" s="543">
        <f>F109-F111</f>
        <v>1506080799.368</v>
      </c>
      <c r="G112" s="547">
        <f>+F112/$F$11</f>
        <v>0.67407416461918912</v>
      </c>
      <c r="H112" s="356"/>
      <c r="I112" s="543">
        <f>C112-F112</f>
        <v>308007699.89666414</v>
      </c>
      <c r="J112" s="546">
        <f>I112/F112</f>
        <v>0.20450941279240403</v>
      </c>
    </row>
    <row r="114" spans="1:10" ht="20.100000000000001" customHeight="1" x14ac:dyDescent="0.25">
      <c r="A114" s="321" t="s">
        <v>403</v>
      </c>
      <c r="C114" s="364">
        <f>C40</f>
        <v>582460505.43124366</v>
      </c>
      <c r="D114" s="479">
        <f>C114/C109</f>
        <v>0.21568397899729969</v>
      </c>
      <c r="E114" s="356"/>
      <c r="F114" s="364">
        <f>F40</f>
        <v>566917067</v>
      </c>
      <c r="G114" s="479">
        <f>F114/F109</f>
        <v>0.2537341612128286</v>
      </c>
      <c r="H114" s="356"/>
      <c r="I114" s="313">
        <f>C114-F114</f>
        <v>15543438.431243658</v>
      </c>
      <c r="J114" s="545">
        <f>I114/F114</f>
        <v>2.7417481914058617E-2</v>
      </c>
    </row>
    <row r="115" spans="1:10" ht="20.100000000000001" customHeight="1" x14ac:dyDescent="0.25">
      <c r="A115" s="321" t="s">
        <v>246</v>
      </c>
      <c r="C115" s="543">
        <f>C86</f>
        <v>776099173.49910641</v>
      </c>
      <c r="D115" s="544">
        <f>C115/C109</f>
        <v>0.28738799674128745</v>
      </c>
      <c r="E115" s="356"/>
      <c r="F115" s="543">
        <f>F86</f>
        <v>568712571.8857348</v>
      </c>
      <c r="G115" s="544">
        <f>F115/F109</f>
        <v>0.25453777245097015</v>
      </c>
      <c r="H115" s="356"/>
      <c r="I115" s="543">
        <f>C115-F115</f>
        <v>207386601.61337161</v>
      </c>
      <c r="J115" s="542">
        <f>I115/F115</f>
        <v>0.36465978046822489</v>
      </c>
    </row>
    <row r="116" spans="1:10" ht="20.100000000000001" customHeight="1" x14ac:dyDescent="0.25">
      <c r="A116" s="321" t="s">
        <v>247</v>
      </c>
      <c r="C116" s="540">
        <f>C87</f>
        <v>2244998627.921525</v>
      </c>
      <c r="D116" s="541">
        <f>C116/C109</f>
        <v>0.83131857421833599</v>
      </c>
      <c r="E116" s="356"/>
      <c r="F116" s="540">
        <f>F87</f>
        <v>1863844230.7657349</v>
      </c>
      <c r="G116" s="541">
        <f>F116/F109</f>
        <v>0.83419776904460963</v>
      </c>
      <c r="H116" s="356"/>
      <c r="I116" s="540">
        <f>C116-F116</f>
        <v>381154397.15579009</v>
      </c>
      <c r="J116" s="539">
        <f>I116/F116</f>
        <v>0.2044990621341774</v>
      </c>
    </row>
    <row r="117" spans="1:10" ht="20.100000000000001" customHeight="1" x14ac:dyDescent="0.25">
      <c r="A117" s="376"/>
      <c r="C117" s="348"/>
      <c r="D117" s="377"/>
      <c r="E117" s="356"/>
      <c r="F117" s="348"/>
      <c r="G117" s="377"/>
      <c r="H117" s="356"/>
      <c r="I117" s="348"/>
      <c r="J117" s="416"/>
    </row>
    <row r="118" spans="1:10" ht="20.100000000000001" customHeight="1" x14ac:dyDescent="0.25">
      <c r="A118" s="321" t="s">
        <v>398</v>
      </c>
      <c r="C118" s="313">
        <f>C109-C116</f>
        <v>455528820.33431387</v>
      </c>
      <c r="D118" s="366">
        <f>C118/C109</f>
        <v>0.16868142578166404</v>
      </c>
      <c r="E118" s="356"/>
      <c r="F118" s="313">
        <f>F109-F116</f>
        <v>370451160.48226523</v>
      </c>
      <c r="G118" s="366">
        <f>F118/F109</f>
        <v>0.16580223095539037</v>
      </c>
      <c r="H118" s="356"/>
      <c r="I118" s="313">
        <f>C118-F118</f>
        <v>85077659.852048635</v>
      </c>
      <c r="J118" s="326">
        <f>I118/F118</f>
        <v>0.2296595851968497</v>
      </c>
    </row>
    <row r="120" spans="1:10" ht="20.100000000000001" customHeight="1" x14ac:dyDescent="0.25">
      <c r="A120" s="321" t="s">
        <v>405</v>
      </c>
      <c r="C120" s="313">
        <f>C96</f>
        <v>26549802.567401879</v>
      </c>
      <c r="D120" s="371">
        <f>C120/C109</f>
        <v>9.8313396460936991E-3</v>
      </c>
      <c r="E120" s="356"/>
      <c r="F120" s="313">
        <f>F96</f>
        <v>36076463.567401879</v>
      </c>
      <c r="G120" s="371">
        <f>F120/F109</f>
        <v>1.6146684860344637E-2</v>
      </c>
      <c r="H120" s="356"/>
      <c r="I120" s="313">
        <f>C120-F120</f>
        <v>-9526661</v>
      </c>
      <c r="J120" s="365">
        <f>IF(F120&lt;&gt;0,I120/F120,0)</f>
        <v>-0.26406859370240882</v>
      </c>
    </row>
    <row r="122" spans="1:10" ht="20.100000000000001" customHeight="1" x14ac:dyDescent="0.3">
      <c r="A122" s="538" t="s">
        <v>399</v>
      </c>
      <c r="B122" s="537"/>
      <c r="C122" s="536">
        <f>C118+C120</f>
        <v>482078622.90171576</v>
      </c>
      <c r="D122" s="535">
        <f>C122/C109</f>
        <v>0.17851276542775774</v>
      </c>
      <c r="E122" s="534"/>
      <c r="F122" s="536">
        <f>F118+F120</f>
        <v>406527624.04966712</v>
      </c>
      <c r="G122" s="535">
        <f>F122/F109</f>
        <v>0.18194891581573502</v>
      </c>
      <c r="H122" s="534"/>
      <c r="I122" s="533">
        <f>C122-F122</f>
        <v>75550998.852048635</v>
      </c>
      <c r="J122" s="532">
        <f>I122/F122</f>
        <v>0.18584468651709204</v>
      </c>
    </row>
    <row r="127" spans="1:10" ht="20.100000000000001" customHeight="1" x14ac:dyDescent="0.25">
      <c r="C127" s="360">
        <f>C122-C99</f>
        <v>0</v>
      </c>
      <c r="F127" s="360">
        <f>F122-F99</f>
        <v>0</v>
      </c>
    </row>
  </sheetData>
  <mergeCells count="10">
    <mergeCell ref="A43:A44"/>
    <mergeCell ref="A91:A92"/>
    <mergeCell ref="G102:J102"/>
    <mergeCell ref="G103:J103"/>
    <mergeCell ref="A1:J1"/>
    <mergeCell ref="A2:J2"/>
    <mergeCell ref="C3:J3"/>
    <mergeCell ref="A7:A8"/>
    <mergeCell ref="A14:A15"/>
    <mergeCell ref="A23:A24"/>
  </mergeCells>
  <pageMargins left="0.70866141732283472" right="0.70866141732283472" top="0.74803149606299213" bottom="1.1417322834645669" header="0.31496062992125984" footer="0.31496062992125984"/>
  <pageSetup scale="70" firstPageNumber="0"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B4"/>
  <sheetViews>
    <sheetView workbookViewId="0">
      <selection activeCell="A2" sqref="A2"/>
    </sheetView>
  </sheetViews>
  <sheetFormatPr baseColWidth="10" defaultRowHeight="15" x14ac:dyDescent="0.2"/>
  <cols>
    <col min="1" max="1" width="18.33203125" bestFit="1" customWidth="1"/>
  </cols>
  <sheetData>
    <row r="1" spans="1:2" x14ac:dyDescent="0.2">
      <c r="A1" t="s">
        <v>1003</v>
      </c>
      <c r="B1">
        <v>931000</v>
      </c>
    </row>
    <row r="2" spans="1:2" x14ac:dyDescent="0.2">
      <c r="A2" t="s">
        <v>1004</v>
      </c>
      <c r="B2" t="s">
        <v>1005</v>
      </c>
    </row>
    <row r="3" spans="1:2" x14ac:dyDescent="0.2">
      <c r="A3" t="s">
        <v>1006</v>
      </c>
      <c r="B3" t="s">
        <v>1007</v>
      </c>
    </row>
    <row r="4" spans="1:2" x14ac:dyDescent="0.2">
      <c r="A4" t="s">
        <v>1008</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Z127"/>
  <sheetViews>
    <sheetView showGridLines="0" topLeftCell="A31" zoomScale="115" zoomScaleNormal="115" workbookViewId="0">
      <selection activeCell="N50" sqref="N50"/>
    </sheetView>
  </sheetViews>
  <sheetFormatPr baseColWidth="10" defaultRowHeight="20.100000000000001" customHeight="1" x14ac:dyDescent="0.25"/>
  <cols>
    <col min="1" max="1" width="33.109375" style="360" bestFit="1" customWidth="1"/>
    <col min="2" max="2" width="1.77734375" style="346" customWidth="1"/>
    <col min="3" max="3" width="11.5546875" style="360" customWidth="1"/>
    <col min="4" max="4" width="6.33203125" style="360" customWidth="1"/>
    <col min="5" max="5" width="1.77734375" style="360" hidden="1" customWidth="1"/>
    <col min="6" max="6" width="12.77734375" style="372" hidden="1" customWidth="1"/>
    <col min="7" max="7" width="9.6640625" style="360" hidden="1" customWidth="1"/>
    <col min="8" max="8" width="1.77734375" style="360" hidden="1" customWidth="1"/>
    <col min="9" max="9" width="12.21875" style="360" hidden="1" customWidth="1"/>
    <col min="10" max="10" width="8.33203125" style="360" hidden="1" customWidth="1"/>
    <col min="11" max="12" width="0" style="360" hidden="1" customWidth="1"/>
    <col min="13" max="13" width="3.21875" style="360" hidden="1" customWidth="1"/>
    <col min="14" max="16384" width="11.5546875" style="360"/>
  </cols>
  <sheetData>
    <row r="1" spans="1:14" ht="15.75" customHeight="1" x14ac:dyDescent="0.25">
      <c r="A1" s="1273" t="s">
        <v>116</v>
      </c>
      <c r="B1" s="1273"/>
      <c r="C1" s="1273"/>
      <c r="D1" s="1273"/>
      <c r="E1" s="1273"/>
      <c r="F1" s="1273"/>
      <c r="G1" s="1273"/>
      <c r="H1" s="1273"/>
      <c r="I1" s="1273"/>
      <c r="J1" s="1273"/>
    </row>
    <row r="2" spans="1:14" ht="24" customHeight="1" x14ac:dyDescent="0.25">
      <c r="A2" s="1273" t="s">
        <v>998</v>
      </c>
      <c r="B2" s="1273"/>
      <c r="C2" s="1273"/>
      <c r="D2" s="1273"/>
      <c r="E2" s="1273"/>
      <c r="F2" s="1273"/>
      <c r="G2" s="1273"/>
      <c r="H2" s="1273"/>
      <c r="I2" s="1273"/>
      <c r="J2" s="1273"/>
    </row>
    <row r="3" spans="1:14" ht="15.6" hidden="1" customHeight="1" x14ac:dyDescent="0.25">
      <c r="A3" s="350"/>
      <c r="C3" s="1181"/>
      <c r="D3" s="1181"/>
      <c r="E3" s="1181"/>
      <c r="F3" s="1181"/>
      <c r="G3" s="1181"/>
      <c r="H3" s="1181"/>
      <c r="I3" s="1181"/>
      <c r="J3" s="1181"/>
    </row>
    <row r="4" spans="1:14" ht="14.25" hidden="1" x14ac:dyDescent="0.25">
      <c r="A4" s="352"/>
      <c r="C4" s="348"/>
      <c r="D4" s="352"/>
      <c r="E4" s="352"/>
      <c r="F4" s="373"/>
      <c r="G4" s="352"/>
      <c r="H4" s="352"/>
      <c r="I4" s="352"/>
      <c r="J4" s="571"/>
    </row>
    <row r="5" spans="1:14" ht="14.25" hidden="1" x14ac:dyDescent="0.25">
      <c r="A5" s="352"/>
      <c r="C5" s="348"/>
      <c r="D5" s="352"/>
      <c r="E5" s="352"/>
      <c r="F5" s="373"/>
      <c r="G5" s="352"/>
      <c r="H5" s="352"/>
      <c r="I5" s="352"/>
      <c r="J5" s="352"/>
    </row>
    <row r="6" spans="1:14" ht="14.25" hidden="1" x14ac:dyDescent="0.25">
      <c r="A6" s="352"/>
      <c r="C6" s="348"/>
      <c r="D6" s="352"/>
      <c r="E6" s="352"/>
      <c r="F6" s="373"/>
      <c r="G6" s="352"/>
      <c r="H6" s="352"/>
      <c r="I6" s="352"/>
      <c r="J6" s="352"/>
    </row>
    <row r="7" spans="1:14" ht="23.25" customHeight="1" x14ac:dyDescent="0.25">
      <c r="A7" s="1200" t="s">
        <v>218</v>
      </c>
      <c r="C7" s="350"/>
      <c r="D7" s="357"/>
      <c r="E7" s="357"/>
      <c r="F7" s="350"/>
      <c r="G7" s="357"/>
      <c r="H7" s="357"/>
      <c r="I7" s="356"/>
      <c r="J7" s="356"/>
    </row>
    <row r="8" spans="1:14" ht="14.25" customHeight="1" x14ac:dyDescent="0.25">
      <c r="A8" s="1200"/>
      <c r="C8" s="383">
        <v>2015</v>
      </c>
      <c r="D8" s="384" t="s">
        <v>400</v>
      </c>
      <c r="E8" s="356"/>
      <c r="F8" s="383" t="s">
        <v>994</v>
      </c>
      <c r="G8" s="384" t="s">
        <v>400</v>
      </c>
      <c r="H8" s="356"/>
      <c r="I8" s="383" t="s">
        <v>392</v>
      </c>
      <c r="J8" s="384" t="s">
        <v>393</v>
      </c>
    </row>
    <row r="9" spans="1:14" ht="14.25" x14ac:dyDescent="0.25">
      <c r="A9" s="361" t="s">
        <v>387</v>
      </c>
      <c r="C9" s="477">
        <v>2580527448.2558389</v>
      </c>
      <c r="D9" s="362">
        <f>+C9/$C$11</f>
        <v>0.95556423613561003</v>
      </c>
      <c r="E9" s="356"/>
      <c r="F9" s="560">
        <f>2242295391.248-8000000</f>
        <v>2234295391.2480001</v>
      </c>
      <c r="G9" s="362">
        <f>+F9/$F$11</f>
        <v>1</v>
      </c>
      <c r="H9" s="356"/>
      <c r="I9" s="364">
        <f>C9-F9</f>
        <v>346232057.00783873</v>
      </c>
      <c r="J9" s="548">
        <f>I9/F9</f>
        <v>0.15496252570903146</v>
      </c>
      <c r="L9" s="570"/>
      <c r="N9" s="360">
        <f>+C9/12*12</f>
        <v>2580527448.2558389</v>
      </c>
    </row>
    <row r="10" spans="1:14" ht="14.25" x14ac:dyDescent="0.25">
      <c r="A10" s="369" t="s">
        <v>996</v>
      </c>
      <c r="C10" s="569">
        <v>120000000</v>
      </c>
      <c r="D10" s="362"/>
      <c r="E10" s="356"/>
      <c r="F10" s="568"/>
      <c r="G10" s="362"/>
      <c r="H10" s="356"/>
      <c r="I10" s="568"/>
      <c r="J10" s="365"/>
      <c r="N10" s="360">
        <f>+C10/12*12</f>
        <v>120000000</v>
      </c>
    </row>
    <row r="11" spans="1:14" ht="14.25" x14ac:dyDescent="0.25">
      <c r="A11" s="321" t="s">
        <v>401</v>
      </c>
      <c r="C11" s="313">
        <f>SUM(C9:C10)</f>
        <v>2700527448.2558389</v>
      </c>
      <c r="D11" s="366">
        <f>+C11/C11</f>
        <v>1</v>
      </c>
      <c r="E11" s="356"/>
      <c r="F11" s="313">
        <f>SUM(F9:F10)</f>
        <v>2234295391.2480001</v>
      </c>
      <c r="G11" s="366">
        <f>+F11/F11</f>
        <v>1</v>
      </c>
      <c r="H11" s="356"/>
      <c r="I11" s="313">
        <f>SUM(I9:I10)</f>
        <v>346232057.00783873</v>
      </c>
      <c r="J11" s="548">
        <f>I11/F11</f>
        <v>0.15496252570903146</v>
      </c>
    </row>
    <row r="12" spans="1:14" ht="14.25" x14ac:dyDescent="0.25">
      <c r="A12" s="296"/>
      <c r="C12" s="298"/>
      <c r="D12" s="374"/>
      <c r="E12" s="356"/>
      <c r="F12" s="298"/>
      <c r="G12" s="374"/>
      <c r="H12" s="356"/>
      <c r="I12" s="298"/>
      <c r="J12" s="304"/>
    </row>
    <row r="13" spans="1:14" ht="14.25" x14ac:dyDescent="0.25">
      <c r="A13" s="300"/>
      <c r="C13" s="301"/>
      <c r="D13" s="307"/>
      <c r="E13" s="356"/>
      <c r="F13" s="301"/>
      <c r="G13" s="307"/>
      <c r="H13" s="356"/>
      <c r="I13" s="565"/>
      <c r="J13" s="301"/>
    </row>
    <row r="14" spans="1:14" ht="14.25" x14ac:dyDescent="0.25">
      <c r="A14" s="1200" t="s">
        <v>222</v>
      </c>
      <c r="C14" s="294"/>
      <c r="D14" s="308"/>
      <c r="E14" s="356"/>
      <c r="F14" s="294"/>
      <c r="G14" s="308"/>
      <c r="H14" s="356"/>
      <c r="I14" s="332"/>
      <c r="J14" s="332"/>
    </row>
    <row r="15" spans="1:14" ht="14.25" x14ac:dyDescent="0.25">
      <c r="A15" s="1200"/>
      <c r="C15" s="383">
        <f>C8</f>
        <v>2015</v>
      </c>
      <c r="D15" s="384" t="s">
        <v>400</v>
      </c>
      <c r="E15" s="356"/>
      <c r="F15" s="383" t="str">
        <f>F8</f>
        <v>2014 Ajustado</v>
      </c>
      <c r="G15" s="384" t="s">
        <v>400</v>
      </c>
      <c r="H15" s="356"/>
      <c r="I15" s="383" t="s">
        <v>392</v>
      </c>
      <c r="J15" s="384" t="s">
        <v>393</v>
      </c>
    </row>
    <row r="16" spans="1:14" ht="14.25" x14ac:dyDescent="0.25">
      <c r="A16" s="312" t="s">
        <v>388</v>
      </c>
      <c r="C16" s="477">
        <v>397761290.61497444</v>
      </c>
      <c r="D16" s="317">
        <f>+C16/$C$11</f>
        <v>0.14729022320134991</v>
      </c>
      <c r="E16" s="356"/>
      <c r="F16" s="560">
        <v>318664656.05199999</v>
      </c>
      <c r="G16" s="317">
        <f>+F16/$F$11</f>
        <v>0.14262422833625635</v>
      </c>
      <c r="H16" s="356"/>
      <c r="I16" s="364">
        <f>C16-F16</f>
        <v>79096634.562974453</v>
      </c>
      <c r="J16" s="365">
        <f>I16/F16</f>
        <v>0.24821276241588397</v>
      </c>
      <c r="N16" s="360">
        <f>C16/12*12</f>
        <v>397761290.61497444</v>
      </c>
    </row>
    <row r="17" spans="1:26" ht="15.75" x14ac:dyDescent="0.25">
      <c r="A17" s="312" t="s">
        <v>54</v>
      </c>
      <c r="C17" s="562">
        <v>304198628.6450513</v>
      </c>
      <c r="D17" s="317">
        <f>+C17/$C$11</f>
        <v>0.11264415358618957</v>
      </c>
      <c r="E17" s="356"/>
      <c r="F17" s="562">
        <v>235160000</v>
      </c>
      <c r="G17" s="317">
        <f>+F17/$F$11</f>
        <v>0.10525018353488513</v>
      </c>
      <c r="H17" s="356"/>
      <c r="I17" s="364">
        <f>C17-F17</f>
        <v>69038628.645051301</v>
      </c>
      <c r="J17" s="365">
        <f>I17/F17</f>
        <v>0.29358151320399428</v>
      </c>
      <c r="K17" s="567">
        <v>0.04</v>
      </c>
      <c r="L17" s="566">
        <v>3.9935219548363467E-2</v>
      </c>
      <c r="N17" s="360">
        <f>C17/12*12</f>
        <v>304198628.6450513</v>
      </c>
    </row>
    <row r="18" spans="1:26" ht="14.25" x14ac:dyDescent="0.25">
      <c r="A18" s="312" t="s">
        <v>389</v>
      </c>
      <c r="C18" s="477">
        <v>254044532.37620026</v>
      </c>
      <c r="D18" s="317">
        <f>+C18/$C$11</f>
        <v>9.4072190430901675E-2</v>
      </c>
      <c r="E18" s="356"/>
      <c r="F18" s="560">
        <v>174389935.82800001</v>
      </c>
      <c r="G18" s="317">
        <f>+F18/$F$11</f>
        <v>7.8051423509669343E-2</v>
      </c>
      <c r="H18" s="356"/>
      <c r="I18" s="364">
        <f>C18-F18</f>
        <v>79654596.54820025</v>
      </c>
      <c r="J18" s="365">
        <f>I18/F18</f>
        <v>0.45676143046903356</v>
      </c>
      <c r="N18" s="360">
        <f>C18/12*12</f>
        <v>254044532.37620026</v>
      </c>
    </row>
    <row r="19" spans="1:26" ht="14.25" x14ac:dyDescent="0.25">
      <c r="A19" s="321" t="s">
        <v>402</v>
      </c>
      <c r="C19" s="313">
        <f>SUM(C16:C18)</f>
        <v>956004451.63622594</v>
      </c>
      <c r="D19" s="314">
        <f>+C19/$C$11</f>
        <v>0.35400656721844115</v>
      </c>
      <c r="E19" s="356"/>
      <c r="F19" s="313">
        <f>SUM(F16:F18)</f>
        <v>728214591.88000011</v>
      </c>
      <c r="G19" s="314">
        <f>+F19/$F$11</f>
        <v>0.32592583538081088</v>
      </c>
      <c r="H19" s="356"/>
      <c r="I19" s="313">
        <f>C19-F19</f>
        <v>227789859.75622582</v>
      </c>
      <c r="J19" s="548">
        <f>I19/F19</f>
        <v>0.31280595348707663</v>
      </c>
    </row>
    <row r="20" spans="1:26" ht="14.25" x14ac:dyDescent="0.25">
      <c r="A20" s="321" t="s">
        <v>397</v>
      </c>
      <c r="C20" s="543">
        <f>+C11-C19</f>
        <v>1744522996.6196129</v>
      </c>
      <c r="D20" s="547">
        <f>+C20/$C$11</f>
        <v>0.64599343278155885</v>
      </c>
      <c r="E20" s="356"/>
      <c r="F20" s="543">
        <f>+F11-F19</f>
        <v>1506080799.368</v>
      </c>
      <c r="G20" s="547">
        <f>+F20/$F$11</f>
        <v>0.67407416461918912</v>
      </c>
      <c r="H20" s="356"/>
      <c r="I20" s="543">
        <f>C20-F20</f>
        <v>238442197.2516129</v>
      </c>
      <c r="J20" s="546">
        <f>I20/F20</f>
        <v>0.15831965811639781</v>
      </c>
      <c r="Z20" s="325">
        <v>77170854.322332278</v>
      </c>
    </row>
    <row r="21" spans="1:26" ht="14.25" x14ac:dyDescent="0.25">
      <c r="A21" s="296"/>
      <c r="C21" s="298"/>
      <c r="D21" s="297"/>
      <c r="E21" s="356"/>
      <c r="F21" s="298"/>
      <c r="G21" s="297"/>
      <c r="H21" s="356"/>
      <c r="I21" s="298"/>
      <c r="J21" s="299"/>
    </row>
    <row r="22" spans="1:26" ht="14.25" x14ac:dyDescent="0.25">
      <c r="A22" s="296"/>
      <c r="C22" s="298"/>
      <c r="D22" s="297"/>
      <c r="E22" s="356"/>
      <c r="F22" s="298"/>
      <c r="G22" s="297"/>
      <c r="H22" s="356"/>
      <c r="I22" s="298"/>
      <c r="J22" s="302"/>
    </row>
    <row r="23" spans="1:26" ht="14.25" x14ac:dyDescent="0.25">
      <c r="A23" s="1200" t="s">
        <v>224</v>
      </c>
      <c r="C23" s="350"/>
      <c r="D23" s="357"/>
      <c r="E23" s="356"/>
      <c r="F23" s="350"/>
      <c r="G23" s="357"/>
      <c r="H23" s="356"/>
      <c r="I23" s="356"/>
      <c r="J23" s="356"/>
    </row>
    <row r="24" spans="1:26" ht="14.25" x14ac:dyDescent="0.25">
      <c r="A24" s="1200"/>
      <c r="C24" s="383">
        <f>C15</f>
        <v>2015</v>
      </c>
      <c r="D24" s="384" t="s">
        <v>400</v>
      </c>
      <c r="E24" s="356"/>
      <c r="F24" s="383" t="str">
        <f>F15</f>
        <v>2014 Ajustado</v>
      </c>
      <c r="G24" s="384" t="s">
        <v>400</v>
      </c>
      <c r="H24" s="356"/>
      <c r="I24" s="383" t="s">
        <v>392</v>
      </c>
      <c r="J24" s="384" t="s">
        <v>393</v>
      </c>
    </row>
    <row r="25" spans="1:26" ht="14.25" x14ac:dyDescent="0.25">
      <c r="A25" s="361" t="s">
        <v>60</v>
      </c>
      <c r="C25" s="364">
        <v>296283624.06219</v>
      </c>
      <c r="D25" s="367">
        <f t="shared" ref="D25:D38" si="0">+C25/$C$11</f>
        <v>0.10971324296427631</v>
      </c>
      <c r="E25" s="356"/>
      <c r="F25" s="364">
        <f>286870683-5000000</f>
        <v>281870683</v>
      </c>
      <c r="G25" s="367">
        <f t="shared" ref="G25:G38" si="1">+F25/$F$11</f>
        <v>0.12615640890820473</v>
      </c>
      <c r="H25" s="356"/>
      <c r="I25" s="364">
        <f t="shared" ref="I25:I38" si="2">C25-F25</f>
        <v>14412941.062189996</v>
      </c>
      <c r="J25" s="365">
        <f t="shared" ref="J25:J38" si="3">I25/F25</f>
        <v>5.1133168262802259E-2</v>
      </c>
      <c r="N25" s="360">
        <f>C25/12*12</f>
        <v>296283624.06219</v>
      </c>
    </row>
    <row r="26" spans="1:26" ht="14.25" x14ac:dyDescent="0.25">
      <c r="A26" s="361" t="s">
        <v>61</v>
      </c>
      <c r="C26" s="364">
        <v>6240000</v>
      </c>
      <c r="D26" s="367">
        <f t="shared" si="0"/>
        <v>2.3106597209482773E-3</v>
      </c>
      <c r="E26" s="356"/>
      <c r="F26" s="565">
        <v>5746680</v>
      </c>
      <c r="G26" s="367">
        <f t="shared" si="1"/>
        <v>2.57203233847701E-3</v>
      </c>
      <c r="H26" s="356"/>
      <c r="I26" s="364">
        <f t="shared" si="2"/>
        <v>493320</v>
      </c>
      <c r="J26" s="365">
        <f t="shared" si="3"/>
        <v>8.5844348388982861E-2</v>
      </c>
      <c r="N26" s="360">
        <f t="shared" ref="N26:N39" si="4">C26/12*12</f>
        <v>6240000</v>
      </c>
    </row>
    <row r="27" spans="1:26" ht="14.25" x14ac:dyDescent="0.25">
      <c r="A27" s="361" t="s">
        <v>62</v>
      </c>
      <c r="C27" s="364">
        <v>25210302.005182505</v>
      </c>
      <c r="D27" s="367">
        <f t="shared" si="0"/>
        <v>9.3353252237687191E-3</v>
      </c>
      <c r="E27" s="356"/>
      <c r="F27" s="364">
        <v>24378591</v>
      </c>
      <c r="G27" s="367">
        <f t="shared" si="1"/>
        <v>1.0911086822044135E-2</v>
      </c>
      <c r="H27" s="356"/>
      <c r="I27" s="364">
        <f t="shared" si="2"/>
        <v>831711.00518250465</v>
      </c>
      <c r="J27" s="365">
        <f t="shared" si="3"/>
        <v>3.4116450995158198E-2</v>
      </c>
      <c r="N27" s="360">
        <f t="shared" si="4"/>
        <v>25210302.005182505</v>
      </c>
    </row>
    <row r="28" spans="1:26" ht="14.25" x14ac:dyDescent="0.25">
      <c r="A28" s="361" t="s">
        <v>63</v>
      </c>
      <c r="C28" s="364">
        <v>3025236.2406219007</v>
      </c>
      <c r="D28" s="367">
        <f t="shared" si="0"/>
        <v>1.1202390268522462E-3</v>
      </c>
      <c r="E28" s="356"/>
      <c r="F28" s="364">
        <v>2995456</v>
      </c>
      <c r="G28" s="367">
        <f t="shared" si="1"/>
        <v>1.3406714312411672E-3</v>
      </c>
      <c r="H28" s="356"/>
      <c r="I28" s="364">
        <f t="shared" si="2"/>
        <v>29780.240621900652</v>
      </c>
      <c r="J28" s="365">
        <f t="shared" si="3"/>
        <v>9.9418053952054879E-3</v>
      </c>
      <c r="N28" s="360">
        <f t="shared" si="4"/>
        <v>3025236.2406219007</v>
      </c>
    </row>
    <row r="29" spans="1:26" ht="14.25" x14ac:dyDescent="0.25">
      <c r="A29" s="361" t="s">
        <v>64</v>
      </c>
      <c r="C29" s="364">
        <v>26961302.260365002</v>
      </c>
      <c r="D29" s="367">
        <f t="shared" si="0"/>
        <v>9.9837171726501854E-3</v>
      </c>
      <c r="E29" s="356"/>
      <c r="F29" s="364">
        <v>25887890</v>
      </c>
      <c r="G29" s="367">
        <f t="shared" si="1"/>
        <v>1.1586601351551784E-2</v>
      </c>
      <c r="H29" s="356"/>
      <c r="I29" s="364">
        <f t="shared" si="2"/>
        <v>1073412.2603650019</v>
      </c>
      <c r="J29" s="365">
        <f t="shared" si="3"/>
        <v>4.1463875980815815E-2</v>
      </c>
      <c r="N29" s="360">
        <f t="shared" si="4"/>
        <v>26961302.260365002</v>
      </c>
    </row>
    <row r="30" spans="1:26" ht="14.25" x14ac:dyDescent="0.25">
      <c r="A30" s="361" t="s">
        <v>65</v>
      </c>
      <c r="C30" s="364">
        <v>13751951.130182503</v>
      </c>
      <c r="D30" s="367">
        <f t="shared" si="0"/>
        <v>5.0923204424618345E-3</v>
      </c>
      <c r="E30" s="356"/>
      <c r="F30" s="364">
        <v>13334245</v>
      </c>
      <c r="G30" s="367">
        <f t="shared" si="1"/>
        <v>5.967986619957154E-3</v>
      </c>
      <c r="H30" s="356"/>
      <c r="I30" s="364">
        <f t="shared" si="2"/>
        <v>417706.13018250279</v>
      </c>
      <c r="J30" s="365">
        <f>I30/F30</f>
        <v>3.1325817860891468E-2</v>
      </c>
      <c r="N30" s="360">
        <f t="shared" si="4"/>
        <v>13751951.130182501</v>
      </c>
    </row>
    <row r="31" spans="1:26" ht="14.25" x14ac:dyDescent="0.25">
      <c r="A31" s="361" t="s">
        <v>66</v>
      </c>
      <c r="C31" s="364">
        <v>64800000</v>
      </c>
      <c r="D31" s="367">
        <f t="shared" si="0"/>
        <v>2.3995312486770573E-2</v>
      </c>
      <c r="E31" s="356"/>
      <c r="F31" s="364">
        <f>59687544+2000000</f>
        <v>61687544</v>
      </c>
      <c r="G31" s="367">
        <f t="shared" si="1"/>
        <v>2.7609394998368356E-2</v>
      </c>
      <c r="H31" s="356"/>
      <c r="I31" s="364">
        <f t="shared" si="2"/>
        <v>3112456</v>
      </c>
      <c r="J31" s="365">
        <f>I31/F31</f>
        <v>5.0455177790835699E-2</v>
      </c>
      <c r="N31" s="360">
        <f t="shared" si="4"/>
        <v>64800000</v>
      </c>
    </row>
    <row r="32" spans="1:26" ht="14.25" x14ac:dyDescent="0.25">
      <c r="A32" s="361" t="s">
        <v>67</v>
      </c>
      <c r="C32" s="364">
        <v>28290302.005182501</v>
      </c>
      <c r="D32" s="367">
        <f t="shared" si="0"/>
        <v>1.0475843162954725E-2</v>
      </c>
      <c r="E32" s="356"/>
      <c r="F32" s="364">
        <f>23905890+3000000</f>
        <v>26905890</v>
      </c>
      <c r="G32" s="367">
        <f t="shared" si="1"/>
        <v>1.2042225976651772E-2</v>
      </c>
      <c r="H32" s="356"/>
      <c r="I32" s="364">
        <f t="shared" si="2"/>
        <v>1384412.0051825009</v>
      </c>
      <c r="J32" s="365">
        <f t="shared" si="3"/>
        <v>5.1453864012024911E-2</v>
      </c>
      <c r="N32" s="360">
        <f t="shared" si="4"/>
        <v>28290302.005182501</v>
      </c>
    </row>
    <row r="33" spans="1:15" ht="14.25" x14ac:dyDescent="0.25">
      <c r="A33" s="361" t="s">
        <v>68</v>
      </c>
      <c r="C33" s="364">
        <v>9540000</v>
      </c>
      <c r="D33" s="367">
        <f t="shared" si="0"/>
        <v>3.5326432272190008E-3</v>
      </c>
      <c r="E33" s="356"/>
      <c r="F33" s="364">
        <v>9240012</v>
      </c>
      <c r="G33" s="367">
        <f t="shared" si="1"/>
        <v>4.1355373314532276E-3</v>
      </c>
      <c r="H33" s="356"/>
      <c r="I33" s="364">
        <f t="shared" si="2"/>
        <v>299988</v>
      </c>
      <c r="J33" s="365">
        <f t="shared" si="3"/>
        <v>3.2466191602348565E-2</v>
      </c>
      <c r="N33" s="360">
        <f t="shared" si="4"/>
        <v>9540000</v>
      </c>
      <c r="O33" s="360" t="s">
        <v>1050</v>
      </c>
    </row>
    <row r="34" spans="1:15" ht="14.25" x14ac:dyDescent="0.25">
      <c r="A34" s="361" t="s">
        <v>69</v>
      </c>
      <c r="C34" s="364">
        <v>15797147.399999993</v>
      </c>
      <c r="D34" s="367">
        <f t="shared" si="0"/>
        <v>5.8496525966446776E-3</v>
      </c>
      <c r="E34" s="356"/>
      <c r="F34" s="364">
        <f>9744000+5000000</f>
        <v>14744000</v>
      </c>
      <c r="G34" s="367">
        <f t="shared" si="1"/>
        <v>6.5989484012516858E-3</v>
      </c>
      <c r="H34" s="356"/>
      <c r="I34" s="364">
        <f t="shared" si="2"/>
        <v>1053147.3999999929</v>
      </c>
      <c r="J34" s="365">
        <f t="shared" si="3"/>
        <v>7.1428879544220891E-2</v>
      </c>
      <c r="N34" s="360">
        <f t="shared" si="4"/>
        <v>15797147.399999995</v>
      </c>
    </row>
    <row r="35" spans="1:15" ht="14.25" x14ac:dyDescent="0.25">
      <c r="A35" s="361" t="s">
        <v>225</v>
      </c>
      <c r="C35" s="364">
        <v>25184108.04528616</v>
      </c>
      <c r="D35" s="367">
        <f t="shared" si="0"/>
        <v>9.3256256519634907E-3</v>
      </c>
      <c r="E35" s="356"/>
      <c r="F35" s="364">
        <v>24384008</v>
      </c>
      <c r="G35" s="367">
        <f t="shared" si="1"/>
        <v>1.0913511300034475E-2</v>
      </c>
      <c r="H35" s="356"/>
      <c r="I35" s="364">
        <f t="shared" si="2"/>
        <v>800100.04528615996</v>
      </c>
      <c r="J35" s="365">
        <f t="shared" si="3"/>
        <v>3.2812491091955019E-2</v>
      </c>
      <c r="N35" s="360">
        <f t="shared" si="4"/>
        <v>25184108.045286156</v>
      </c>
    </row>
    <row r="36" spans="1:15" ht="14.25" x14ac:dyDescent="0.25">
      <c r="A36" s="361" t="s">
        <v>226</v>
      </c>
      <c r="C36" s="364">
        <v>35554034.88746281</v>
      </c>
      <c r="D36" s="367">
        <f t="shared" si="0"/>
        <v>1.3165589155713161E-2</v>
      </c>
      <c r="E36" s="356"/>
      <c r="F36" s="364">
        <v>34424482</v>
      </c>
      <c r="G36" s="367">
        <f t="shared" si="1"/>
        <v>1.5407310123292012E-2</v>
      </c>
      <c r="H36" s="356"/>
      <c r="I36" s="364">
        <f t="shared" si="2"/>
        <v>1129552.8874628097</v>
      </c>
      <c r="J36" s="365">
        <f t="shared" si="3"/>
        <v>3.2812487562276456E-2</v>
      </c>
      <c r="N36" s="360">
        <f t="shared" si="4"/>
        <v>35554034.88746281</v>
      </c>
    </row>
    <row r="37" spans="1:15" ht="14.25" x14ac:dyDescent="0.25">
      <c r="A37" s="361" t="s">
        <v>227</v>
      </c>
      <c r="C37" s="364">
        <v>5156971.2291731415</v>
      </c>
      <c r="D37" s="367">
        <f t="shared" si="0"/>
        <v>1.9096162982915874E-3</v>
      </c>
      <c r="E37" s="356"/>
      <c r="F37" s="364">
        <v>4999225</v>
      </c>
      <c r="G37" s="367">
        <f t="shared" si="1"/>
        <v>2.2374951045338754E-3</v>
      </c>
      <c r="H37" s="356"/>
      <c r="I37" s="364">
        <f t="shared" si="2"/>
        <v>157746.22917314153</v>
      </c>
      <c r="J37" s="365">
        <f t="shared" si="3"/>
        <v>3.155413672582081E-2</v>
      </c>
      <c r="N37" s="360">
        <f t="shared" si="4"/>
        <v>5156971.2291731415</v>
      </c>
    </row>
    <row r="38" spans="1:15" ht="14.25" x14ac:dyDescent="0.25">
      <c r="A38" s="361" t="s">
        <v>647</v>
      </c>
      <c r="C38" s="364">
        <v>26665526.165597096</v>
      </c>
      <c r="D38" s="367">
        <f t="shared" si="0"/>
        <v>9.874191866784867E-3</v>
      </c>
      <c r="E38" s="356"/>
      <c r="F38" s="364">
        <v>25818361</v>
      </c>
      <c r="G38" s="367">
        <f t="shared" si="1"/>
        <v>1.1555482368684812E-2</v>
      </c>
      <c r="H38" s="356"/>
      <c r="I38" s="364">
        <f t="shared" si="2"/>
        <v>847165.16559709609</v>
      </c>
      <c r="J38" s="365">
        <f t="shared" si="3"/>
        <v>3.2812507563787494E-2</v>
      </c>
      <c r="N38" s="360">
        <f t="shared" si="4"/>
        <v>26665526.165597096</v>
      </c>
    </row>
    <row r="39" spans="1:15" ht="14.25" x14ac:dyDescent="0.25">
      <c r="A39" s="361" t="s">
        <v>997</v>
      </c>
      <c r="C39" s="364">
        <v>2760000</v>
      </c>
      <c r="D39" s="367">
        <f>+C39/$C$11</f>
        <v>1.0220225688809688E-3</v>
      </c>
      <c r="E39" s="356"/>
      <c r="F39" s="560">
        <v>10500000</v>
      </c>
      <c r="G39" s="367">
        <f>+F39/$F$11</f>
        <v>4.6994681370823863E-3</v>
      </c>
      <c r="H39" s="356"/>
      <c r="I39" s="364">
        <f>C39-F39</f>
        <v>-7740000</v>
      </c>
      <c r="J39" s="365">
        <v>0</v>
      </c>
      <c r="N39" s="360">
        <f t="shared" si="4"/>
        <v>2760000</v>
      </c>
    </row>
    <row r="40" spans="1:15" ht="14.25" x14ac:dyDescent="0.25">
      <c r="A40" s="321" t="s">
        <v>403</v>
      </c>
      <c r="C40" s="364">
        <f>SUM(C25:C38)</f>
        <v>582460505.43124366</v>
      </c>
      <c r="D40" s="479">
        <f>C40/$C$11</f>
        <v>0.21568397899729969</v>
      </c>
      <c r="E40" s="356"/>
      <c r="F40" s="313">
        <f>SUM(F25:F39)</f>
        <v>566917067</v>
      </c>
      <c r="G40" s="479">
        <f>F40/F11</f>
        <v>0.2537341612128286</v>
      </c>
      <c r="H40" s="356"/>
      <c r="I40" s="313">
        <f>C40-F40</f>
        <v>15543438.431243658</v>
      </c>
      <c r="J40" s="545">
        <f>I40/F40</f>
        <v>2.7417481914058617E-2</v>
      </c>
    </row>
    <row r="41" spans="1:15" ht="14.25" x14ac:dyDescent="0.25">
      <c r="A41" s="296"/>
      <c r="C41" s="298"/>
      <c r="D41" s="374"/>
      <c r="E41" s="356"/>
      <c r="F41" s="298"/>
      <c r="G41" s="374"/>
      <c r="H41" s="356"/>
      <c r="I41" s="298"/>
      <c r="J41" s="304"/>
    </row>
    <row r="42" spans="1:15" ht="14.25" x14ac:dyDescent="0.25">
      <c r="A42" s="300"/>
      <c r="C42" s="301"/>
      <c r="D42" s="307"/>
      <c r="E42" s="356"/>
      <c r="F42" s="301"/>
      <c r="G42" s="307"/>
      <c r="H42" s="356"/>
      <c r="I42" s="301"/>
      <c r="J42" s="375"/>
    </row>
    <row r="43" spans="1:15" ht="14.25" x14ac:dyDescent="0.25">
      <c r="A43" s="1200" t="s">
        <v>229</v>
      </c>
      <c r="C43" s="294"/>
      <c r="D43" s="308"/>
      <c r="E43" s="356"/>
      <c r="F43" s="294"/>
      <c r="G43" s="308"/>
      <c r="H43" s="356"/>
      <c r="I43" s="332"/>
      <c r="J43" s="332"/>
    </row>
    <row r="44" spans="1:15" ht="14.25" x14ac:dyDescent="0.25">
      <c r="A44" s="1200"/>
      <c r="C44" s="383">
        <f>C24</f>
        <v>2015</v>
      </c>
      <c r="D44" s="384" t="s">
        <v>400</v>
      </c>
      <c r="E44" s="356"/>
      <c r="F44" s="383" t="str">
        <f>F24</f>
        <v>2014 Ajustado</v>
      </c>
      <c r="G44" s="384" t="s">
        <v>400</v>
      </c>
      <c r="H44" s="356"/>
      <c r="I44" s="383" t="s">
        <v>392</v>
      </c>
      <c r="J44" s="384" t="s">
        <v>393</v>
      </c>
    </row>
    <row r="45" spans="1:15" ht="15.75" customHeight="1" x14ac:dyDescent="0.25">
      <c r="A45" s="368" t="s">
        <v>230</v>
      </c>
      <c r="B45" s="564"/>
      <c r="C45" s="325">
        <v>8220000</v>
      </c>
      <c r="D45" s="317">
        <f t="shared" ref="D45:D85" si="5">+C45/$C$11</f>
        <v>3.0438498247107116E-3</v>
      </c>
      <c r="E45" s="356"/>
      <c r="F45" s="325">
        <v>7980000</v>
      </c>
      <c r="G45" s="317">
        <f t="shared" ref="G45:G82" si="6">+F45/$F$11</f>
        <v>3.5715957841826133E-3</v>
      </c>
      <c r="H45" s="356"/>
      <c r="I45" s="364">
        <f t="shared" ref="I45:I83" si="7">C45-F45</f>
        <v>240000</v>
      </c>
      <c r="J45" s="365">
        <f t="shared" ref="J45:J87" si="8">I45/F45</f>
        <v>3.007518796992481E-2</v>
      </c>
      <c r="N45" s="360">
        <f>C45/12*12</f>
        <v>8220000</v>
      </c>
    </row>
    <row r="46" spans="1:15" ht="15.75" customHeight="1" x14ac:dyDescent="0.25">
      <c r="A46" s="368" t="s">
        <v>231</v>
      </c>
      <c r="B46" s="559"/>
      <c r="C46" s="325">
        <v>15240000</v>
      </c>
      <c r="D46" s="317">
        <f t="shared" si="5"/>
        <v>5.6433420107775238E-3</v>
      </c>
      <c r="E46" s="356"/>
      <c r="F46" s="325">
        <v>14628000</v>
      </c>
      <c r="G46" s="317">
        <f t="shared" si="6"/>
        <v>6.5470304675467753E-3</v>
      </c>
      <c r="H46" s="356"/>
      <c r="I46" s="364">
        <f t="shared" si="7"/>
        <v>612000</v>
      </c>
      <c r="J46" s="365">
        <f t="shared" si="8"/>
        <v>4.1837571780147659E-2</v>
      </c>
      <c r="N46" s="360">
        <f t="shared" ref="N46:N85" si="9">C46/12*12</f>
        <v>15240000</v>
      </c>
    </row>
    <row r="47" spans="1:15" ht="15.75" customHeight="1" x14ac:dyDescent="0.25">
      <c r="A47" s="368" t="s">
        <v>73</v>
      </c>
      <c r="B47" s="559"/>
      <c r="C47" s="325">
        <v>4116000</v>
      </c>
      <c r="D47" s="317">
        <f t="shared" si="5"/>
        <v>1.5241467005485752E-3</v>
      </c>
      <c r="E47" s="356"/>
      <c r="F47" s="325">
        <v>3950000</v>
      </c>
      <c r="G47" s="317">
        <f t="shared" si="6"/>
        <v>1.7678951563309929E-3</v>
      </c>
      <c r="H47" s="356"/>
      <c r="I47" s="364">
        <f t="shared" si="7"/>
        <v>166000</v>
      </c>
      <c r="J47" s="365">
        <f t="shared" si="8"/>
        <v>4.2025316455696203E-2</v>
      </c>
      <c r="N47" s="360">
        <f t="shared" si="9"/>
        <v>4116000</v>
      </c>
    </row>
    <row r="48" spans="1:15" ht="15.75" customHeight="1" x14ac:dyDescent="0.25">
      <c r="A48" s="368" t="s">
        <v>643</v>
      </c>
      <c r="B48" s="559"/>
      <c r="C48" s="325">
        <v>4944000</v>
      </c>
      <c r="D48" s="317">
        <f t="shared" si="5"/>
        <v>1.8307534712128659E-3</v>
      </c>
      <c r="E48" s="356"/>
      <c r="F48" s="325">
        <v>5000000</v>
      </c>
      <c r="G48" s="317">
        <f t="shared" si="6"/>
        <v>2.2378419700392316E-3</v>
      </c>
      <c r="H48" s="356"/>
      <c r="I48" s="364">
        <f t="shared" si="7"/>
        <v>-56000</v>
      </c>
      <c r="J48" s="365">
        <f t="shared" si="8"/>
        <v>-1.12E-2</v>
      </c>
      <c r="N48" s="360">
        <f t="shared" si="9"/>
        <v>4944000</v>
      </c>
    </row>
    <row r="49" spans="1:14" ht="15.75" customHeight="1" x14ac:dyDescent="0.25">
      <c r="A49" s="368" t="s">
        <v>493</v>
      </c>
      <c r="B49" s="559"/>
      <c r="C49" s="325">
        <v>5148000</v>
      </c>
      <c r="D49" s="317">
        <f t="shared" si="5"/>
        <v>1.9062942697823289E-3</v>
      </c>
      <c r="E49" s="356"/>
      <c r="F49" s="560">
        <v>4937784</v>
      </c>
      <c r="G49" s="317">
        <f t="shared" si="6"/>
        <v>2.2099960548376393E-3</v>
      </c>
      <c r="H49" s="356"/>
      <c r="I49" s="364">
        <f t="shared" si="7"/>
        <v>210216</v>
      </c>
      <c r="J49" s="365">
        <f t="shared" si="8"/>
        <v>4.2572943652456244E-2</v>
      </c>
      <c r="N49" s="360">
        <f t="shared" si="9"/>
        <v>5148000</v>
      </c>
    </row>
    <row r="50" spans="1:14" ht="15.75" customHeight="1" x14ac:dyDescent="0.25">
      <c r="A50" s="368" t="s">
        <v>77</v>
      </c>
      <c r="B50" s="559"/>
      <c r="C50" s="325">
        <v>18432000</v>
      </c>
      <c r="D50" s="317">
        <f t="shared" si="5"/>
        <v>6.8253333295702958E-3</v>
      </c>
      <c r="E50" s="356"/>
      <c r="F50" s="325">
        <v>16000000</v>
      </c>
      <c r="G50" s="317">
        <f t="shared" si="6"/>
        <v>7.1610943041255405E-3</v>
      </c>
      <c r="H50" s="356"/>
      <c r="I50" s="364">
        <f t="shared" si="7"/>
        <v>2432000</v>
      </c>
      <c r="J50" s="365">
        <f t="shared" si="8"/>
        <v>0.152</v>
      </c>
      <c r="N50" s="360">
        <f t="shared" si="9"/>
        <v>18432000</v>
      </c>
    </row>
    <row r="51" spans="1:14" ht="15.75" customHeight="1" x14ac:dyDescent="0.25">
      <c r="A51" s="368" t="s">
        <v>436</v>
      </c>
      <c r="B51" s="559"/>
      <c r="C51" s="325">
        <v>12768000</v>
      </c>
      <c r="D51" s="317">
        <f t="shared" si="5"/>
        <v>4.7279652751710905E-3</v>
      </c>
      <c r="E51" s="356"/>
      <c r="F51" s="560">
        <v>12188160</v>
      </c>
      <c r="G51" s="317">
        <f t="shared" si="6"/>
        <v>5.455035197110672E-3</v>
      </c>
      <c r="H51" s="356"/>
      <c r="I51" s="364">
        <f t="shared" si="7"/>
        <v>579840</v>
      </c>
      <c r="J51" s="365">
        <f t="shared" si="8"/>
        <v>4.7574039067422809E-2</v>
      </c>
      <c r="N51" s="360">
        <f t="shared" si="9"/>
        <v>12768000</v>
      </c>
    </row>
    <row r="52" spans="1:14" ht="15.75" customHeight="1" x14ac:dyDescent="0.25">
      <c r="A52" s="368" t="s">
        <v>232</v>
      </c>
      <c r="B52" s="559"/>
      <c r="C52" s="325">
        <v>4992000</v>
      </c>
      <c r="D52" s="317">
        <f t="shared" si="5"/>
        <v>1.8485277767586218E-3</v>
      </c>
      <c r="E52" s="356"/>
      <c r="F52" s="325">
        <v>4850000</v>
      </c>
      <c r="G52" s="317">
        <f t="shared" si="6"/>
        <v>2.1707067109380546E-3</v>
      </c>
      <c r="H52" s="356"/>
      <c r="I52" s="364">
        <f t="shared" si="7"/>
        <v>142000</v>
      </c>
      <c r="J52" s="365">
        <f t="shared" si="8"/>
        <v>2.9278350515463916E-2</v>
      </c>
      <c r="N52" s="360">
        <f t="shared" si="9"/>
        <v>4992000</v>
      </c>
    </row>
    <row r="53" spans="1:14" ht="15.75" customHeight="1" x14ac:dyDescent="0.25">
      <c r="A53" s="368" t="s">
        <v>233</v>
      </c>
      <c r="B53" s="559"/>
      <c r="C53" s="325">
        <v>9168000</v>
      </c>
      <c r="D53" s="317">
        <f t="shared" si="5"/>
        <v>3.3948923592393922E-3</v>
      </c>
      <c r="E53" s="356"/>
      <c r="F53" s="325">
        <v>8800000</v>
      </c>
      <c r="G53" s="317">
        <f t="shared" si="6"/>
        <v>3.9386018672690473E-3</v>
      </c>
      <c r="H53" s="356"/>
      <c r="I53" s="364">
        <f t="shared" si="7"/>
        <v>368000</v>
      </c>
      <c r="J53" s="365">
        <f t="shared" si="8"/>
        <v>4.1818181818181817E-2</v>
      </c>
      <c r="N53" s="360">
        <f t="shared" si="9"/>
        <v>9168000</v>
      </c>
    </row>
    <row r="54" spans="1:14" ht="15.75" customHeight="1" x14ac:dyDescent="0.25">
      <c r="A54" s="368" t="s">
        <v>79</v>
      </c>
      <c r="B54" s="559"/>
      <c r="C54" s="325">
        <v>20184000</v>
      </c>
      <c r="D54" s="317">
        <f t="shared" si="5"/>
        <v>7.4740954819903895E-3</v>
      </c>
      <c r="E54" s="356"/>
      <c r="F54" s="325">
        <v>19500000</v>
      </c>
      <c r="G54" s="317">
        <f t="shared" si="6"/>
        <v>8.7275836831530017E-3</v>
      </c>
      <c r="H54" s="356"/>
      <c r="I54" s="364">
        <f t="shared" si="7"/>
        <v>684000</v>
      </c>
      <c r="J54" s="365">
        <f t="shared" si="8"/>
        <v>3.5076923076923075E-2</v>
      </c>
      <c r="N54" s="360">
        <f t="shared" si="9"/>
        <v>20184000</v>
      </c>
    </row>
    <row r="55" spans="1:14" ht="15.75" customHeight="1" x14ac:dyDescent="0.25">
      <c r="A55" s="368" t="s">
        <v>234</v>
      </c>
      <c r="B55" s="559"/>
      <c r="C55" s="325">
        <v>16476000</v>
      </c>
      <c r="D55" s="317">
        <f t="shared" si="5"/>
        <v>6.10103037858074E-3</v>
      </c>
      <c r="E55" s="356"/>
      <c r="F55" s="325">
        <v>15700000</v>
      </c>
      <c r="G55" s="317">
        <f t="shared" si="6"/>
        <v>7.0268237859231865E-3</v>
      </c>
      <c r="H55" s="356"/>
      <c r="I55" s="364">
        <f t="shared" si="7"/>
        <v>776000</v>
      </c>
      <c r="J55" s="365">
        <f t="shared" si="8"/>
        <v>4.9426751592356689E-2</v>
      </c>
      <c r="N55" s="360">
        <f t="shared" si="9"/>
        <v>16476000</v>
      </c>
    </row>
    <row r="56" spans="1:14" ht="15.75" customHeight="1" x14ac:dyDescent="0.25">
      <c r="A56" s="368" t="s">
        <v>81</v>
      </c>
      <c r="B56" s="559"/>
      <c r="C56" s="325">
        <v>9168000</v>
      </c>
      <c r="D56" s="317">
        <f t="shared" si="5"/>
        <v>3.3948923592393922E-3</v>
      </c>
      <c r="E56" s="356"/>
      <c r="F56" s="560">
        <v>8784408</v>
      </c>
      <c r="G56" s="317">
        <f t="shared" si="6"/>
        <v>3.9316233808696774E-3</v>
      </c>
      <c r="H56" s="356"/>
      <c r="I56" s="364">
        <f t="shared" si="7"/>
        <v>383592</v>
      </c>
      <c r="J56" s="365">
        <f t="shared" si="8"/>
        <v>4.3667370641254366E-2</v>
      </c>
      <c r="N56" s="360">
        <f t="shared" si="9"/>
        <v>9168000</v>
      </c>
    </row>
    <row r="57" spans="1:14" ht="15.75" customHeight="1" x14ac:dyDescent="0.25">
      <c r="A57" s="368" t="s">
        <v>82</v>
      </c>
      <c r="B57" s="559"/>
      <c r="C57" s="325">
        <v>7728000</v>
      </c>
      <c r="D57" s="317">
        <f t="shared" si="5"/>
        <v>2.8616631928667126E-3</v>
      </c>
      <c r="E57" s="356"/>
      <c r="F57" s="560">
        <v>5782308</v>
      </c>
      <c r="G57" s="317">
        <f t="shared" si="6"/>
        <v>2.5879783052187217E-3</v>
      </c>
      <c r="H57" s="356"/>
      <c r="I57" s="364">
        <f t="shared" si="7"/>
        <v>1945692</v>
      </c>
      <c r="J57" s="365">
        <f t="shared" si="8"/>
        <v>0.33649055014018625</v>
      </c>
      <c r="N57" s="360">
        <f t="shared" si="9"/>
        <v>7728000</v>
      </c>
    </row>
    <row r="58" spans="1:14" ht="15.75" customHeight="1" x14ac:dyDescent="0.25">
      <c r="A58" s="368" t="s">
        <v>83</v>
      </c>
      <c r="B58" s="559"/>
      <c r="C58" s="325">
        <v>17508000</v>
      </c>
      <c r="D58" s="317">
        <f t="shared" si="5"/>
        <v>6.4831779478144932E-3</v>
      </c>
      <c r="E58" s="356"/>
      <c r="F58" s="325">
        <v>17000000</v>
      </c>
      <c r="G58" s="317">
        <f t="shared" si="6"/>
        <v>7.6086626981333866E-3</v>
      </c>
      <c r="H58" s="356"/>
      <c r="I58" s="364">
        <f t="shared" si="7"/>
        <v>508000</v>
      </c>
      <c r="J58" s="365">
        <f t="shared" si="8"/>
        <v>2.9882352941176471E-2</v>
      </c>
      <c r="N58" s="360">
        <f t="shared" si="9"/>
        <v>17508000</v>
      </c>
    </row>
    <row r="59" spans="1:14" ht="15.75" customHeight="1" x14ac:dyDescent="0.25">
      <c r="A59" s="368" t="s">
        <v>84</v>
      </c>
      <c r="B59" s="559"/>
      <c r="C59" s="325">
        <v>38112000</v>
      </c>
      <c r="D59" s="317">
        <f t="shared" si="5"/>
        <v>1.4112798603330248E-2</v>
      </c>
      <c r="E59" s="356"/>
      <c r="F59" s="325">
        <v>26000000</v>
      </c>
      <c r="G59" s="317">
        <f t="shared" si="6"/>
        <v>1.1636778244204003E-2</v>
      </c>
      <c r="H59" s="356"/>
      <c r="I59" s="364">
        <f t="shared" si="7"/>
        <v>12112000</v>
      </c>
      <c r="J59" s="365">
        <f t="shared" si="8"/>
        <v>0.46584615384615385</v>
      </c>
      <c r="N59" s="360">
        <f t="shared" si="9"/>
        <v>38112000</v>
      </c>
    </row>
    <row r="60" spans="1:14" ht="15.75" customHeight="1" x14ac:dyDescent="0.25">
      <c r="A60" s="368" t="s">
        <v>85</v>
      </c>
      <c r="B60" s="559"/>
      <c r="C60" s="325">
        <v>5868000</v>
      </c>
      <c r="D60" s="317">
        <f t="shared" si="5"/>
        <v>2.1729088529686687E-3</v>
      </c>
      <c r="E60" s="356"/>
      <c r="F60" s="560">
        <v>5668800</v>
      </c>
      <c r="G60" s="317">
        <f t="shared" si="6"/>
        <v>2.5371757119516791E-3</v>
      </c>
      <c r="H60" s="356"/>
      <c r="I60" s="364">
        <f t="shared" si="7"/>
        <v>199200</v>
      </c>
      <c r="J60" s="365">
        <f t="shared" si="8"/>
        <v>3.513971210838273E-2</v>
      </c>
      <c r="N60" s="360">
        <f t="shared" si="9"/>
        <v>5868000</v>
      </c>
    </row>
    <row r="61" spans="1:14" ht="15.75" customHeight="1" x14ac:dyDescent="0.25">
      <c r="A61" s="368" t="s">
        <v>86</v>
      </c>
      <c r="B61" s="559"/>
      <c r="C61" s="325">
        <v>18540000</v>
      </c>
      <c r="D61" s="317">
        <f t="shared" si="5"/>
        <v>6.8653255170482473E-3</v>
      </c>
      <c r="E61" s="356"/>
      <c r="F61" s="325">
        <v>17220000</v>
      </c>
      <c r="G61" s="317">
        <f t="shared" si="6"/>
        <v>7.7071277448151126E-3</v>
      </c>
      <c r="H61" s="356"/>
      <c r="I61" s="364">
        <f t="shared" si="7"/>
        <v>1320000</v>
      </c>
      <c r="J61" s="365">
        <f t="shared" si="8"/>
        <v>7.6655052264808357E-2</v>
      </c>
      <c r="N61" s="360">
        <f t="shared" si="9"/>
        <v>18540000</v>
      </c>
    </row>
    <row r="62" spans="1:14" ht="15.75" customHeight="1" x14ac:dyDescent="0.25">
      <c r="A62" s="368" t="s">
        <v>87</v>
      </c>
      <c r="B62" s="559"/>
      <c r="C62" s="325">
        <v>22656000</v>
      </c>
      <c r="D62" s="317">
        <f t="shared" si="5"/>
        <v>8.3894722175968228E-3</v>
      </c>
      <c r="E62" s="356"/>
      <c r="F62" s="325">
        <v>21950000</v>
      </c>
      <c r="G62" s="317">
        <f t="shared" si="6"/>
        <v>9.8241262484722262E-3</v>
      </c>
      <c r="H62" s="356"/>
      <c r="I62" s="364">
        <f t="shared" si="7"/>
        <v>706000</v>
      </c>
      <c r="J62" s="365">
        <f t="shared" si="8"/>
        <v>3.2164009111617313E-2</v>
      </c>
      <c r="N62" s="360">
        <f t="shared" si="9"/>
        <v>22656000</v>
      </c>
    </row>
    <row r="63" spans="1:14" ht="15.75" customHeight="1" x14ac:dyDescent="0.25">
      <c r="A63" s="368" t="s">
        <v>235</v>
      </c>
      <c r="B63" s="559"/>
      <c r="C63" s="325">
        <v>19872000</v>
      </c>
      <c r="D63" s="317">
        <f t="shared" si="5"/>
        <v>7.358562495942975E-3</v>
      </c>
      <c r="E63" s="356"/>
      <c r="F63" s="325">
        <v>20000000</v>
      </c>
      <c r="G63" s="317">
        <f t="shared" si="6"/>
        <v>8.9513678801569265E-3</v>
      </c>
      <c r="H63" s="356"/>
      <c r="I63" s="364">
        <f t="shared" si="7"/>
        <v>-128000</v>
      </c>
      <c r="J63" s="365">
        <f t="shared" si="8"/>
        <v>-6.4000000000000003E-3</v>
      </c>
      <c r="N63" s="360">
        <f t="shared" si="9"/>
        <v>19872000</v>
      </c>
    </row>
    <row r="64" spans="1:14" ht="15.75" customHeight="1" x14ac:dyDescent="0.25">
      <c r="A64" s="368" t="s">
        <v>88</v>
      </c>
      <c r="B64" s="559"/>
      <c r="C64" s="325">
        <v>2160000</v>
      </c>
      <c r="D64" s="317">
        <f t="shared" si="5"/>
        <v>7.9984374955901908E-4</v>
      </c>
      <c r="E64" s="356"/>
      <c r="F64" s="325">
        <v>2064000</v>
      </c>
      <c r="G64" s="317">
        <f t="shared" si="6"/>
        <v>9.2378116523219472E-4</v>
      </c>
      <c r="H64" s="356"/>
      <c r="I64" s="364">
        <f t="shared" si="7"/>
        <v>96000</v>
      </c>
      <c r="J64" s="365">
        <f t="shared" si="8"/>
        <v>4.6511627906976744E-2</v>
      </c>
      <c r="N64" s="360">
        <f t="shared" si="9"/>
        <v>2160000</v>
      </c>
    </row>
    <row r="65" spans="1:14" ht="15.75" customHeight="1" x14ac:dyDescent="0.25">
      <c r="A65" s="368" t="s">
        <v>90</v>
      </c>
      <c r="B65" s="559"/>
      <c r="C65" s="325">
        <v>10296000</v>
      </c>
      <c r="D65" s="317">
        <f t="shared" si="5"/>
        <v>3.8125885395646577E-3</v>
      </c>
      <c r="E65" s="356"/>
      <c r="F65" s="325">
        <v>9900000</v>
      </c>
      <c r="G65" s="317">
        <f t="shared" si="6"/>
        <v>4.4309271006776783E-3</v>
      </c>
      <c r="H65" s="356"/>
      <c r="I65" s="364">
        <f t="shared" si="7"/>
        <v>396000</v>
      </c>
      <c r="J65" s="365">
        <f t="shared" si="8"/>
        <v>0.04</v>
      </c>
      <c r="N65" s="360">
        <f t="shared" si="9"/>
        <v>10296000</v>
      </c>
    </row>
    <row r="66" spans="1:14" ht="15.75" customHeight="1" x14ac:dyDescent="0.25">
      <c r="A66" s="368" t="s">
        <v>91</v>
      </c>
      <c r="B66" s="559"/>
      <c r="C66" s="325">
        <v>21636000</v>
      </c>
      <c r="D66" s="317">
        <f t="shared" si="5"/>
        <v>8.0117682247495079E-3</v>
      </c>
      <c r="E66" s="356"/>
      <c r="F66" s="325">
        <v>16140000</v>
      </c>
      <c r="G66" s="317">
        <f t="shared" si="6"/>
        <v>7.2237538792866395E-3</v>
      </c>
      <c r="H66" s="356"/>
      <c r="I66" s="364">
        <f t="shared" si="7"/>
        <v>5496000</v>
      </c>
      <c r="J66" s="365">
        <f t="shared" si="8"/>
        <v>0.34052044609665427</v>
      </c>
      <c r="N66" s="360">
        <f t="shared" si="9"/>
        <v>21636000</v>
      </c>
    </row>
    <row r="67" spans="1:14" ht="15.75" customHeight="1" x14ac:dyDescent="0.25">
      <c r="A67" s="368" t="s">
        <v>438</v>
      </c>
      <c r="B67" s="559"/>
      <c r="C67" s="325">
        <v>2880000</v>
      </c>
      <c r="D67" s="317">
        <f t="shared" si="5"/>
        <v>1.0664583327453588E-3</v>
      </c>
      <c r="E67" s="356"/>
      <c r="F67" s="325">
        <v>3500000</v>
      </c>
      <c r="G67" s="317">
        <f t="shared" si="6"/>
        <v>1.5664893790274621E-3</v>
      </c>
      <c r="H67" s="356"/>
      <c r="I67" s="364">
        <f t="shared" si="7"/>
        <v>-620000</v>
      </c>
      <c r="J67" s="365">
        <f t="shared" si="8"/>
        <v>-0.17714285714285713</v>
      </c>
      <c r="N67" s="360">
        <f t="shared" si="9"/>
        <v>2880000</v>
      </c>
    </row>
    <row r="68" spans="1:14" ht="15.75" customHeight="1" x14ac:dyDescent="0.25">
      <c r="A68" s="368" t="s">
        <v>93</v>
      </c>
      <c r="B68" s="559"/>
      <c r="C68" s="325">
        <v>1440000</v>
      </c>
      <c r="D68" s="317">
        <f t="shared" si="5"/>
        <v>5.3322916637267939E-4</v>
      </c>
      <c r="E68" s="356"/>
      <c r="F68" s="325">
        <v>1440000</v>
      </c>
      <c r="G68" s="317">
        <f t="shared" si="6"/>
        <v>6.4449848737129867E-4</v>
      </c>
      <c r="H68" s="356"/>
      <c r="I68" s="364">
        <f t="shared" si="7"/>
        <v>0</v>
      </c>
      <c r="J68" s="365">
        <f t="shared" si="8"/>
        <v>0</v>
      </c>
      <c r="N68" s="360">
        <f t="shared" si="9"/>
        <v>1440000</v>
      </c>
    </row>
    <row r="69" spans="1:14" ht="15.75" customHeight="1" x14ac:dyDescent="0.25">
      <c r="A69" s="368" t="s">
        <v>687</v>
      </c>
      <c r="B69" s="559"/>
      <c r="C69" s="325">
        <v>5148000</v>
      </c>
      <c r="D69" s="317">
        <f t="shared" si="5"/>
        <v>1.9062942697823289E-3</v>
      </c>
      <c r="E69" s="356"/>
      <c r="F69" s="325">
        <v>3000000</v>
      </c>
      <c r="G69" s="317">
        <f t="shared" si="6"/>
        <v>1.3427051820235388E-3</v>
      </c>
      <c r="H69" s="356"/>
      <c r="I69" s="364">
        <f t="shared" si="7"/>
        <v>2148000</v>
      </c>
      <c r="J69" s="365">
        <f t="shared" si="8"/>
        <v>0.71599999999999997</v>
      </c>
      <c r="N69" s="360">
        <f t="shared" si="9"/>
        <v>5148000</v>
      </c>
    </row>
    <row r="70" spans="1:14" ht="15.75" customHeight="1" x14ac:dyDescent="0.25">
      <c r="A70" s="368" t="s">
        <v>236</v>
      </c>
      <c r="B70" s="559"/>
      <c r="C70" s="477">
        <v>18362188.958650228</v>
      </c>
      <c r="D70" s="317">
        <f t="shared" si="5"/>
        <v>6.7994824383324154E-3</v>
      </c>
      <c r="E70" s="356"/>
      <c r="F70" s="477">
        <v>21866260.508610647</v>
      </c>
      <c r="G70" s="317">
        <f t="shared" si="6"/>
        <v>9.7866470987960589E-3</v>
      </c>
      <c r="H70" s="356"/>
      <c r="I70" s="364">
        <f t="shared" si="7"/>
        <v>-3504071.5499604195</v>
      </c>
      <c r="J70" s="365">
        <f t="shared" si="8"/>
        <v>-0.16025015107546908</v>
      </c>
      <c r="N70" s="360">
        <f t="shared" si="9"/>
        <v>18362188.958650228</v>
      </c>
    </row>
    <row r="71" spans="1:14" ht="15.75" customHeight="1" x14ac:dyDescent="0.25">
      <c r="A71" s="369" t="s">
        <v>437</v>
      </c>
      <c r="B71" s="559"/>
      <c r="C71" s="325">
        <v>14112000</v>
      </c>
      <c r="D71" s="317">
        <f t="shared" si="5"/>
        <v>5.2256458304522583E-3</v>
      </c>
      <c r="E71" s="356"/>
      <c r="F71" s="325">
        <v>13956000</v>
      </c>
      <c r="G71" s="317">
        <f t="shared" si="6"/>
        <v>6.246264506773503E-3</v>
      </c>
      <c r="H71" s="356"/>
      <c r="I71" s="364">
        <f t="shared" si="7"/>
        <v>156000</v>
      </c>
      <c r="J71" s="365">
        <f t="shared" si="8"/>
        <v>1.117798796216681E-2</v>
      </c>
      <c r="N71" s="360">
        <f t="shared" si="9"/>
        <v>14112000</v>
      </c>
    </row>
    <row r="72" spans="1:14" ht="15.75" customHeight="1" x14ac:dyDescent="0.25">
      <c r="A72" s="369" t="s">
        <v>390</v>
      </c>
      <c r="B72" s="559"/>
      <c r="C72" s="325">
        <f>Z20*30%</f>
        <v>23151256.296699684</v>
      </c>
      <c r="D72" s="317">
        <f t="shared" si="5"/>
        <v>8.5728646497009835E-3</v>
      </c>
      <c r="E72" s="356"/>
      <c r="F72" s="560">
        <v>19791730.800000001</v>
      </c>
      <c r="G72" s="317">
        <f t="shared" si="6"/>
        <v>8.8581531687916271E-3</v>
      </c>
      <c r="H72" s="356"/>
      <c r="I72" s="364">
        <f t="shared" si="7"/>
        <v>3359525.4966996834</v>
      </c>
      <c r="J72" s="365">
        <f t="shared" si="8"/>
        <v>0.16974389610734211</v>
      </c>
      <c r="K72" s="389"/>
      <c r="L72" s="561"/>
      <c r="M72" s="325"/>
      <c r="N72" s="360">
        <f t="shared" si="9"/>
        <v>23151256.296699684</v>
      </c>
    </row>
    <row r="73" spans="1:14" ht="15.75" customHeight="1" x14ac:dyDescent="0.25">
      <c r="A73" s="368" t="s">
        <v>238</v>
      </c>
      <c r="B73" s="559"/>
      <c r="C73" s="325">
        <f>Z20*17%</f>
        <v>13119045.234796489</v>
      </c>
      <c r="D73" s="317">
        <f t="shared" si="5"/>
        <v>4.857956634830558E-3</v>
      </c>
      <c r="E73" s="356"/>
      <c r="F73" s="560">
        <v>11264797.199999999</v>
      </c>
      <c r="G73" s="317">
        <f t="shared" si="6"/>
        <v>5.0417671916280831E-3</v>
      </c>
      <c r="H73" s="356"/>
      <c r="I73" s="364">
        <f t="shared" si="7"/>
        <v>1854248.0347964894</v>
      </c>
      <c r="J73" s="365">
        <f t="shared" si="8"/>
        <v>0.16460554077231762</v>
      </c>
      <c r="K73" s="563"/>
      <c r="L73" s="561"/>
      <c r="M73" s="325"/>
      <c r="N73" s="360">
        <f t="shared" si="9"/>
        <v>13119045.234796491</v>
      </c>
    </row>
    <row r="74" spans="1:14" ht="15.75" customHeight="1" x14ac:dyDescent="0.25">
      <c r="A74" s="368" t="s">
        <v>237</v>
      </c>
      <c r="B74" s="559"/>
      <c r="C74" s="325">
        <f>Z20*13%</f>
        <v>10032211.061903197</v>
      </c>
      <c r="D74" s="317">
        <f t="shared" si="5"/>
        <v>3.7149080148704268E-3</v>
      </c>
      <c r="E74" s="356"/>
      <c r="F74" s="560">
        <v>8679433.1999999993</v>
      </c>
      <c r="G74" s="317">
        <f t="shared" si="6"/>
        <v>3.8846399782223816E-3</v>
      </c>
      <c r="H74" s="356"/>
      <c r="I74" s="364">
        <f t="shared" si="7"/>
        <v>1352777.8619031981</v>
      </c>
      <c r="J74" s="365">
        <f t="shared" si="8"/>
        <v>0.1558601616869634</v>
      </c>
      <c r="K74" s="563"/>
      <c r="L74" s="561"/>
      <c r="M74" s="325"/>
      <c r="N74" s="360">
        <f t="shared" si="9"/>
        <v>10032211.061903197</v>
      </c>
    </row>
    <row r="75" spans="1:14" ht="15.75" customHeight="1" x14ac:dyDescent="0.25">
      <c r="A75" s="369" t="s">
        <v>996</v>
      </c>
      <c r="B75" s="559"/>
      <c r="C75" s="562">
        <v>120000000</v>
      </c>
      <c r="D75" s="317">
        <f t="shared" si="5"/>
        <v>4.4435763864389945E-2</v>
      </c>
      <c r="E75" s="356"/>
      <c r="F75" s="325"/>
      <c r="G75" s="317">
        <f t="shared" si="6"/>
        <v>0</v>
      </c>
      <c r="H75" s="356"/>
      <c r="I75" s="364">
        <f t="shared" si="7"/>
        <v>120000000</v>
      </c>
      <c r="J75" s="365" t="e">
        <f t="shared" si="8"/>
        <v>#DIV/0!</v>
      </c>
      <c r="K75" s="389"/>
      <c r="L75" s="561"/>
      <c r="M75" s="325"/>
      <c r="N75" s="360">
        <f t="shared" si="9"/>
        <v>120000000</v>
      </c>
    </row>
    <row r="76" spans="1:14" ht="15.75" customHeight="1" x14ac:dyDescent="0.25">
      <c r="A76" s="369" t="s">
        <v>239</v>
      </c>
      <c r="B76" s="559"/>
      <c r="C76" s="325">
        <f>Z20*40%</f>
        <v>30868341.728932913</v>
      </c>
      <c r="D76" s="317">
        <f t="shared" si="5"/>
        <v>1.1430486199601313E-2</v>
      </c>
      <c r="E76" s="356"/>
      <c r="F76" s="413">
        <v>4500000</v>
      </c>
      <c r="G76" s="317">
        <f t="shared" si="6"/>
        <v>2.0140577730353082E-3</v>
      </c>
      <c r="H76" s="356"/>
      <c r="I76" s="364">
        <f t="shared" si="7"/>
        <v>26368341.728932913</v>
      </c>
      <c r="J76" s="365">
        <f t="shared" si="8"/>
        <v>5.8596314953184248</v>
      </c>
      <c r="K76" s="389"/>
      <c r="L76" s="561"/>
      <c r="M76" s="325"/>
      <c r="N76" s="360">
        <f t="shared" si="9"/>
        <v>30868341.728932913</v>
      </c>
    </row>
    <row r="77" spans="1:14" ht="15.75" customHeight="1" x14ac:dyDescent="0.25">
      <c r="A77" s="369" t="s">
        <v>240</v>
      </c>
      <c r="B77" s="559"/>
      <c r="C77" s="325">
        <v>2988000</v>
      </c>
      <c r="D77" s="317">
        <f t="shared" si="5"/>
        <v>1.1064505202233097E-3</v>
      </c>
      <c r="E77" s="356"/>
      <c r="F77" s="325">
        <v>2988000</v>
      </c>
      <c r="G77" s="317">
        <f t="shared" si="6"/>
        <v>1.3373343612954447E-3</v>
      </c>
      <c r="H77" s="356"/>
      <c r="I77" s="364">
        <f t="shared" si="7"/>
        <v>0</v>
      </c>
      <c r="J77" s="365">
        <f t="shared" si="8"/>
        <v>0</v>
      </c>
      <c r="K77" s="295"/>
      <c r="N77" s="360">
        <f t="shared" si="9"/>
        <v>2988000</v>
      </c>
    </row>
    <row r="78" spans="1:14" ht="15.75" customHeight="1" x14ac:dyDescent="0.25">
      <c r="A78" s="369" t="s">
        <v>241</v>
      </c>
      <c r="B78" s="559"/>
      <c r="C78" s="325">
        <v>21120000</v>
      </c>
      <c r="D78" s="317">
        <f t="shared" si="5"/>
        <v>7.8206944401326313E-3</v>
      </c>
      <c r="E78" s="356"/>
      <c r="F78" s="560">
        <v>19000000</v>
      </c>
      <c r="G78" s="317">
        <f t="shared" si="6"/>
        <v>8.5037994861490787E-3</v>
      </c>
      <c r="H78" s="356"/>
      <c r="I78" s="364">
        <f t="shared" si="7"/>
        <v>2120000</v>
      </c>
      <c r="J78" s="365">
        <f t="shared" si="8"/>
        <v>0.11157894736842106</v>
      </c>
      <c r="N78" s="360">
        <f t="shared" si="9"/>
        <v>21120000</v>
      </c>
    </row>
    <row r="79" spans="1:14" ht="15.75" customHeight="1" x14ac:dyDescent="0.25">
      <c r="A79" s="369" t="s">
        <v>242</v>
      </c>
      <c r="B79" s="559"/>
      <c r="C79" s="325">
        <v>7728000</v>
      </c>
      <c r="D79" s="317">
        <f t="shared" si="5"/>
        <v>2.8616631928667126E-3</v>
      </c>
      <c r="E79" s="356"/>
      <c r="F79" s="560">
        <v>5700000</v>
      </c>
      <c r="G79" s="317">
        <f t="shared" si="6"/>
        <v>2.5511398458447237E-3</v>
      </c>
      <c r="H79" s="356"/>
      <c r="I79" s="364">
        <f t="shared" si="7"/>
        <v>2028000</v>
      </c>
      <c r="J79" s="365">
        <f t="shared" si="8"/>
        <v>0.35578947368421054</v>
      </c>
      <c r="N79" s="360">
        <f t="shared" si="9"/>
        <v>7728000</v>
      </c>
    </row>
    <row r="80" spans="1:14" ht="15.75" customHeight="1" x14ac:dyDescent="0.25">
      <c r="A80" s="369" t="s">
        <v>243</v>
      </c>
      <c r="B80" s="559"/>
      <c r="C80" s="325">
        <v>22165630.218123969</v>
      </c>
      <c r="D80" s="317">
        <f t="shared" si="5"/>
        <v>8.2078892523161917E-3</v>
      </c>
      <c r="E80" s="356"/>
      <c r="F80" s="477">
        <v>21808390.177124199</v>
      </c>
      <c r="G80" s="317">
        <f t="shared" si="6"/>
        <v>9.7607461674719675E-3</v>
      </c>
      <c r="H80" s="356"/>
      <c r="I80" s="364">
        <f t="shared" si="7"/>
        <v>357240.04099977016</v>
      </c>
      <c r="J80" s="365">
        <f t="shared" si="8"/>
        <v>1.6380853336643589E-2</v>
      </c>
      <c r="N80" s="360">
        <f t="shared" si="9"/>
        <v>22165630.218123969</v>
      </c>
    </row>
    <row r="81" spans="1:14" ht="15.75" customHeight="1" x14ac:dyDescent="0.25">
      <c r="A81" s="369" t="s">
        <v>244</v>
      </c>
      <c r="B81" s="559"/>
      <c r="C81" s="325">
        <v>163136500</v>
      </c>
      <c r="D81" s="317">
        <f t="shared" si="5"/>
        <v>6.0409124930525422E-2</v>
      </c>
      <c r="E81" s="356"/>
      <c r="F81" s="477">
        <v>129262500</v>
      </c>
      <c r="G81" s="317">
        <f t="shared" si="6"/>
        <v>5.7853809530439233E-2</v>
      </c>
      <c r="H81" s="356"/>
      <c r="I81" s="364">
        <f t="shared" si="7"/>
        <v>33874000</v>
      </c>
      <c r="J81" s="365">
        <f t="shared" si="8"/>
        <v>0.26205589401411855</v>
      </c>
      <c r="L81" s="360">
        <f>C81/2119</f>
        <v>76987.49410099104</v>
      </c>
      <c r="N81" s="360">
        <f t="shared" si="9"/>
        <v>163136500</v>
      </c>
    </row>
    <row r="82" spans="1:14" ht="15.75" customHeight="1" x14ac:dyDescent="0.25">
      <c r="A82" s="369" t="s">
        <v>245</v>
      </c>
      <c r="B82" s="559"/>
      <c r="C82" s="325">
        <v>11124000</v>
      </c>
      <c r="D82" s="317">
        <f t="shared" si="5"/>
        <v>4.1191953102289484E-3</v>
      </c>
      <c r="E82" s="356"/>
      <c r="F82" s="325">
        <v>9312000</v>
      </c>
      <c r="G82" s="317">
        <f t="shared" si="6"/>
        <v>4.1677568850010645E-3</v>
      </c>
      <c r="H82" s="356"/>
      <c r="I82" s="364">
        <f t="shared" si="7"/>
        <v>1812000</v>
      </c>
      <c r="J82" s="365">
        <f t="shared" si="8"/>
        <v>0.19458762886597938</v>
      </c>
      <c r="N82" s="360">
        <f t="shared" si="9"/>
        <v>11124000</v>
      </c>
    </row>
    <row r="83" spans="1:14" ht="15.75" customHeight="1" x14ac:dyDescent="0.25">
      <c r="A83" s="369" t="s">
        <v>642</v>
      </c>
      <c r="B83" s="559"/>
      <c r="C83" s="325">
        <v>3240000</v>
      </c>
      <c r="D83" s="317">
        <f t="shared" si="5"/>
        <v>1.1997656243385286E-3</v>
      </c>
      <c r="E83" s="356"/>
      <c r="F83" s="325">
        <v>3000000</v>
      </c>
      <c r="G83" s="317">
        <f>+F83/$C$11</f>
        <v>1.1108940966097487E-3</v>
      </c>
      <c r="H83" s="356"/>
      <c r="I83" s="364">
        <f t="shared" si="7"/>
        <v>240000</v>
      </c>
      <c r="J83" s="365">
        <f t="shared" si="8"/>
        <v>0.08</v>
      </c>
      <c r="N83" s="360">
        <f t="shared" si="9"/>
        <v>3240000</v>
      </c>
    </row>
    <row r="84" spans="1:14" ht="15.75" customHeight="1" x14ac:dyDescent="0.25">
      <c r="A84" s="480" t="s">
        <v>672</v>
      </c>
      <c r="B84" s="481"/>
      <c r="C84" s="325">
        <v>6072000</v>
      </c>
      <c r="D84" s="317">
        <f t="shared" si="5"/>
        <v>2.2484496515381312E-3</v>
      </c>
      <c r="E84" s="356"/>
      <c r="F84" s="325">
        <v>20000000</v>
      </c>
      <c r="G84" s="317">
        <f>+F84/$C$11</f>
        <v>7.4059606440649911E-3</v>
      </c>
      <c r="H84" s="356"/>
      <c r="I84" s="364">
        <f>C84-F84</f>
        <v>-13928000</v>
      </c>
      <c r="J84" s="365">
        <f>I84/F84</f>
        <v>-0.69640000000000002</v>
      </c>
      <c r="N84" s="360">
        <f t="shared" si="9"/>
        <v>6072000</v>
      </c>
    </row>
    <row r="85" spans="1:14" ht="15.75" customHeight="1" x14ac:dyDescent="0.25">
      <c r="A85" s="480" t="s">
        <v>673</v>
      </c>
      <c r="B85" s="481"/>
      <c r="C85" s="325">
        <v>6180000</v>
      </c>
      <c r="D85" s="317">
        <f t="shared" si="5"/>
        <v>2.2884418390160823E-3</v>
      </c>
      <c r="E85" s="356"/>
      <c r="F85" s="325">
        <v>5600000</v>
      </c>
      <c r="G85" s="317">
        <f>+F85/$C$11</f>
        <v>2.0736689803381976E-3</v>
      </c>
      <c r="H85" s="356"/>
      <c r="I85" s="364">
        <f>C85-F85</f>
        <v>580000</v>
      </c>
      <c r="J85" s="365">
        <f>I85/F85</f>
        <v>0.10357142857142858</v>
      </c>
      <c r="N85" s="360">
        <f t="shared" si="9"/>
        <v>6180000</v>
      </c>
    </row>
    <row r="86" spans="1:14" ht="14.25" x14ac:dyDescent="0.25">
      <c r="A86" s="321" t="s">
        <v>246</v>
      </c>
      <c r="C86" s="543">
        <f>SUM(C45:C85)</f>
        <v>776099173.49910641</v>
      </c>
      <c r="D86" s="544">
        <f>+C86/$C$11</f>
        <v>0.28738799674128745</v>
      </c>
      <c r="E86" s="356"/>
      <c r="F86" s="543">
        <f>SUM(F45:F85)</f>
        <v>568712571.8857348</v>
      </c>
      <c r="G86" s="544">
        <f>+F86/$F$11</f>
        <v>0.25453777245097015</v>
      </c>
      <c r="H86" s="356"/>
      <c r="I86" s="543">
        <f>C86-F86</f>
        <v>207386601.61337161</v>
      </c>
      <c r="J86" s="542">
        <f t="shared" si="8"/>
        <v>0.36465978046822489</v>
      </c>
    </row>
    <row r="87" spans="1:14" ht="14.25" x14ac:dyDescent="0.25">
      <c r="A87" s="321" t="s">
        <v>247</v>
      </c>
      <c r="C87" s="540">
        <f>+C19+C40+C86</f>
        <v>2314564130.566576</v>
      </c>
      <c r="D87" s="541">
        <f>+C87/$C$11</f>
        <v>0.85707854295702834</v>
      </c>
      <c r="E87" s="356"/>
      <c r="F87" s="540">
        <f>SUM(F86,F40,F19)</f>
        <v>1863844230.7657349</v>
      </c>
      <c r="G87" s="541">
        <f>+F87/$F$11</f>
        <v>0.83419776904460963</v>
      </c>
      <c r="H87" s="356"/>
      <c r="I87" s="540">
        <f>C87-F87</f>
        <v>450719899.80084109</v>
      </c>
      <c r="J87" s="539">
        <f t="shared" si="8"/>
        <v>0.24182272979736563</v>
      </c>
    </row>
    <row r="88" spans="1:14" ht="14.25" x14ac:dyDescent="0.25">
      <c r="A88" s="376"/>
      <c r="C88" s="348"/>
      <c r="D88" s="377"/>
      <c r="E88" s="356"/>
      <c r="F88" s="348"/>
      <c r="G88" s="377"/>
      <c r="H88" s="356"/>
      <c r="I88" s="348"/>
      <c r="J88" s="416"/>
    </row>
    <row r="89" spans="1:14" ht="14.25" x14ac:dyDescent="0.25">
      <c r="A89" s="321" t="s">
        <v>398</v>
      </c>
      <c r="C89" s="313">
        <f>+C11-C87</f>
        <v>385963317.68926287</v>
      </c>
      <c r="D89" s="366">
        <f>C89/C11</f>
        <v>0.14292145704297171</v>
      </c>
      <c r="E89" s="356"/>
      <c r="F89" s="313">
        <f>+F11-F87</f>
        <v>370451160.48226523</v>
      </c>
      <c r="G89" s="366">
        <f>+F89/$F$11</f>
        <v>0.16580223095539037</v>
      </c>
      <c r="H89" s="356"/>
      <c r="I89" s="313">
        <f>C89-F89</f>
        <v>15512157.206997633</v>
      </c>
      <c r="J89" s="326">
        <f>I89/F89</f>
        <v>4.1873690412532132E-2</v>
      </c>
    </row>
    <row r="90" spans="1:14" s="295" customFormat="1" ht="14.25" x14ac:dyDescent="0.25">
      <c r="A90" s="296"/>
      <c r="B90" s="346"/>
      <c r="C90" s="298"/>
      <c r="D90" s="374"/>
      <c r="E90" s="356"/>
      <c r="F90" s="298"/>
      <c r="G90" s="374"/>
      <c r="H90" s="356"/>
      <c r="I90" s="298"/>
      <c r="J90" s="299"/>
    </row>
    <row r="91" spans="1:14" ht="14.25" x14ac:dyDescent="0.25">
      <c r="A91" s="1200" t="s">
        <v>404</v>
      </c>
      <c r="C91" s="294"/>
      <c r="D91" s="308"/>
      <c r="E91" s="356"/>
      <c r="F91" s="294"/>
      <c r="G91" s="308"/>
      <c r="H91" s="356"/>
      <c r="I91" s="332"/>
      <c r="J91" s="332"/>
    </row>
    <row r="92" spans="1:14" ht="14.25" x14ac:dyDescent="0.25">
      <c r="A92" s="1200"/>
      <c r="C92" s="383">
        <f>C44</f>
        <v>2015</v>
      </c>
      <c r="D92" s="384" t="s">
        <v>400</v>
      </c>
      <c r="E92" s="356"/>
      <c r="F92" s="383" t="str">
        <f>F44</f>
        <v>2014 Ajustado</v>
      </c>
      <c r="G92" s="384" t="s">
        <v>400</v>
      </c>
      <c r="H92" s="356"/>
      <c r="I92" s="383" t="s">
        <v>392</v>
      </c>
      <c r="J92" s="384" t="s">
        <v>393</v>
      </c>
    </row>
    <row r="93" spans="1:14" ht="14.25" x14ac:dyDescent="0.25">
      <c r="A93" s="312" t="s">
        <v>249</v>
      </c>
      <c r="C93" s="318">
        <v>26549802.567401879</v>
      </c>
      <c r="D93" s="362">
        <f>+C93/$C$11</f>
        <v>9.8313396460936991E-3</v>
      </c>
      <c r="E93" s="356"/>
      <c r="F93" s="318">
        <v>26549802.567401879</v>
      </c>
      <c r="G93" s="362">
        <f>+F93/$F$11</f>
        <v>1.1882852496317453E-2</v>
      </c>
      <c r="H93" s="356"/>
      <c r="I93" s="364">
        <f>C93-F93</f>
        <v>0</v>
      </c>
      <c r="J93" s="365">
        <f>IF(F93&lt;&gt;0,I93/F93,0)</f>
        <v>0</v>
      </c>
      <c r="N93" s="360">
        <f>C93/12*12</f>
        <v>26549802.567401879</v>
      </c>
    </row>
    <row r="94" spans="1:14" ht="14.25" x14ac:dyDescent="0.25">
      <c r="A94" s="312" t="s">
        <v>682</v>
      </c>
      <c r="C94" s="318"/>
      <c r="D94" s="362">
        <v>0</v>
      </c>
      <c r="E94" s="356"/>
      <c r="F94" s="558">
        <v>9526661</v>
      </c>
      <c r="G94" s="362">
        <v>0</v>
      </c>
      <c r="H94" s="356"/>
      <c r="I94" s="364">
        <f>C94-F94</f>
        <v>-9526661</v>
      </c>
      <c r="J94" s="365">
        <f>IF(F94&lt;&gt;0,I94/F94,0)</f>
        <v>-1</v>
      </c>
    </row>
    <row r="95" spans="1:14" ht="14.25" x14ac:dyDescent="0.25">
      <c r="A95" s="361" t="s">
        <v>250</v>
      </c>
      <c r="C95" s="318"/>
      <c r="D95" s="362">
        <v>0</v>
      </c>
      <c r="E95" s="356"/>
      <c r="F95" s="364">
        <v>0</v>
      </c>
      <c r="G95" s="362">
        <v>0</v>
      </c>
      <c r="H95" s="356"/>
      <c r="I95" s="364">
        <f>C95-F95</f>
        <v>0</v>
      </c>
      <c r="J95" s="365">
        <f>IF(F95&lt;&gt;0,I95/F95,0)</f>
        <v>0</v>
      </c>
    </row>
    <row r="96" spans="1:14" ht="14.25" x14ac:dyDescent="0.25">
      <c r="A96" s="321" t="s">
        <v>405</v>
      </c>
      <c r="C96" s="313">
        <f>SUM(C93:C95)</f>
        <v>26549802.567401879</v>
      </c>
      <c r="D96" s="371">
        <f>+C96/$C$11</f>
        <v>9.8313396460936991E-3</v>
      </c>
      <c r="E96" s="356"/>
      <c r="F96" s="313">
        <f>SUM(F93:F95)</f>
        <v>36076463.567401879</v>
      </c>
      <c r="G96" s="371">
        <f>+F96/$F$11</f>
        <v>1.6146684860344637E-2</v>
      </c>
      <c r="H96" s="356"/>
      <c r="I96" s="313">
        <f>C96-F96</f>
        <v>-9526661</v>
      </c>
      <c r="J96" s="365">
        <f>IF(F96&lt;&gt;0,I96/F96,0)</f>
        <v>-0.26406859370240882</v>
      </c>
    </row>
    <row r="97" spans="1:10" s="295" customFormat="1" ht="14.25" x14ac:dyDescent="0.25">
      <c r="A97" s="309"/>
      <c r="B97" s="346"/>
      <c r="C97" s="378"/>
      <c r="D97" s="333"/>
      <c r="E97" s="356"/>
      <c r="F97" s="305"/>
      <c r="G97" s="378"/>
      <c r="H97" s="356"/>
      <c r="I97" s="378"/>
      <c r="J97" s="378"/>
    </row>
    <row r="98" spans="1:10" s="295" customFormat="1" ht="14.25" x14ac:dyDescent="0.25">
      <c r="A98" s="309"/>
      <c r="B98" s="346"/>
      <c r="C98" s="378"/>
      <c r="D98" s="333"/>
      <c r="E98" s="356"/>
      <c r="F98" s="305"/>
      <c r="G98" s="378"/>
      <c r="H98" s="356"/>
      <c r="I98" s="378"/>
      <c r="J98" s="378"/>
    </row>
    <row r="99" spans="1:10" ht="17.25" x14ac:dyDescent="0.3">
      <c r="A99" s="538" t="s">
        <v>399</v>
      </c>
      <c r="B99" s="537"/>
      <c r="C99" s="536">
        <f>+C89+C96</f>
        <v>412513120.25666475</v>
      </c>
      <c r="D99" s="535">
        <f>+C99/$C$11</f>
        <v>0.15275279668906541</v>
      </c>
      <c r="E99" s="534"/>
      <c r="F99" s="533">
        <f>+F89+F96</f>
        <v>406527624.04966712</v>
      </c>
      <c r="G99" s="557">
        <f>+F99/$F$11</f>
        <v>0.18194891581573502</v>
      </c>
      <c r="H99" s="534"/>
      <c r="I99" s="533">
        <f>C99-F99</f>
        <v>5985496.206997633</v>
      </c>
      <c r="J99" s="532">
        <f>I99/F99</f>
        <v>1.472346736827498E-2</v>
      </c>
    </row>
    <row r="100" spans="1:10" ht="20.100000000000001" customHeight="1" x14ac:dyDescent="0.25">
      <c r="A100" s="379"/>
      <c r="C100" s="380"/>
      <c r="D100" s="380"/>
      <c r="E100" s="380"/>
      <c r="F100" s="307"/>
      <c r="G100" s="380"/>
      <c r="H100" s="380"/>
      <c r="I100" s="380"/>
      <c r="J100" s="380"/>
    </row>
    <row r="101" spans="1:10" ht="20.100000000000001" customHeight="1" x14ac:dyDescent="0.25">
      <c r="A101" s="307"/>
      <c r="C101" s="418">
        <v>-71542067.453181028</v>
      </c>
      <c r="D101" s="377"/>
      <c r="E101" s="377"/>
      <c r="F101" s="418">
        <v>452687624.04966736</v>
      </c>
      <c r="G101" s="377"/>
      <c r="H101" s="377"/>
      <c r="I101" s="377"/>
      <c r="J101" s="556">
        <v>6.9291850953576914E-2</v>
      </c>
    </row>
    <row r="102" spans="1:10" ht="20.100000000000001" customHeight="1" x14ac:dyDescent="0.25">
      <c r="A102" s="311" t="s">
        <v>450</v>
      </c>
      <c r="B102" s="346" t="s">
        <v>257</v>
      </c>
      <c r="C102" s="346"/>
      <c r="D102" s="346"/>
      <c r="E102" s="350"/>
      <c r="F102" s="350"/>
      <c r="G102" s="1181" t="s">
        <v>258</v>
      </c>
      <c r="H102" s="1181"/>
      <c r="I102" s="1181"/>
      <c r="J102" s="1181"/>
    </row>
    <row r="103" spans="1:10" ht="24.75" customHeight="1" x14ac:dyDescent="0.25">
      <c r="A103" s="417" t="s">
        <v>49</v>
      </c>
      <c r="C103" s="476" t="s">
        <v>646</v>
      </c>
      <c r="D103" s="357"/>
      <c r="E103" s="357"/>
      <c r="F103" s="357"/>
      <c r="G103" s="1201" t="s">
        <v>279</v>
      </c>
      <c r="H103" s="1201"/>
      <c r="I103" s="1201"/>
      <c r="J103" s="1201"/>
    </row>
    <row r="104" spans="1:10" ht="20.100000000000001" customHeight="1" x14ac:dyDescent="0.25">
      <c r="A104" s="295"/>
      <c r="C104" s="343"/>
      <c r="D104" s="343"/>
      <c r="E104" s="343"/>
      <c r="F104" s="381"/>
      <c r="G104" s="343"/>
      <c r="H104" s="343"/>
      <c r="I104" s="343"/>
      <c r="J104" s="343"/>
    </row>
    <row r="105" spans="1:10" ht="20.100000000000001" customHeight="1" x14ac:dyDescent="0.25">
      <c r="A105" s="295" t="s">
        <v>435</v>
      </c>
      <c r="C105" s="343">
        <f>C99+SUM(C70:C76)</f>
        <v>642158163.53764725</v>
      </c>
      <c r="D105" s="343"/>
      <c r="E105" s="343"/>
      <c r="F105" s="343">
        <f>F99+SUM(F70:F76)</f>
        <v>486585845.75827777</v>
      </c>
      <c r="G105" s="343"/>
      <c r="H105" s="343"/>
      <c r="I105" s="343"/>
      <c r="J105" s="343"/>
    </row>
    <row r="106" spans="1:10" ht="20.100000000000001" customHeight="1" x14ac:dyDescent="0.25">
      <c r="C106" s="343"/>
      <c r="D106" s="343"/>
      <c r="E106" s="343"/>
      <c r="F106" s="381"/>
      <c r="G106" s="343"/>
      <c r="H106" s="343"/>
      <c r="I106" s="343"/>
      <c r="J106" s="343"/>
    </row>
    <row r="107" spans="1:10" ht="20.100000000000001" customHeight="1" x14ac:dyDescent="0.25">
      <c r="A107" s="555"/>
      <c r="C107" s="350"/>
      <c r="D107" s="357"/>
      <c r="E107" s="357"/>
      <c r="F107" s="350"/>
      <c r="G107" s="357"/>
      <c r="H107" s="357"/>
      <c r="I107" s="356"/>
      <c r="J107" s="356"/>
    </row>
    <row r="108" spans="1:10" ht="20.100000000000001" customHeight="1" x14ac:dyDescent="0.25">
      <c r="A108" s="554" t="s">
        <v>995</v>
      </c>
      <c r="C108" s="383">
        <v>2015</v>
      </c>
      <c r="D108" s="384" t="s">
        <v>400</v>
      </c>
      <c r="E108" s="356"/>
      <c r="F108" s="383" t="s">
        <v>994</v>
      </c>
      <c r="G108" s="384" t="s">
        <v>400</v>
      </c>
      <c r="H108" s="356"/>
      <c r="I108" s="383" t="s">
        <v>392</v>
      </c>
      <c r="J108" s="384" t="s">
        <v>393</v>
      </c>
    </row>
    <row r="109" spans="1:10" ht="20.100000000000001" customHeight="1" x14ac:dyDescent="0.25">
      <c r="A109" s="321" t="s">
        <v>401</v>
      </c>
      <c r="C109" s="313">
        <f>C11</f>
        <v>2700527448.2558389</v>
      </c>
      <c r="D109" s="366">
        <f>+C109/C109</f>
        <v>1</v>
      </c>
      <c r="E109" s="356"/>
      <c r="F109" s="313">
        <f>F11</f>
        <v>2234295391.2480001</v>
      </c>
      <c r="G109" s="366">
        <f>+F109/F109</f>
        <v>1</v>
      </c>
      <c r="H109" s="356"/>
      <c r="I109" s="313">
        <f>C109-F109</f>
        <v>466232057.00783873</v>
      </c>
      <c r="J109" s="548">
        <f>I109/F109</f>
        <v>0.20867073298997302</v>
      </c>
    </row>
    <row r="110" spans="1:10" ht="20.100000000000001" customHeight="1" x14ac:dyDescent="0.25">
      <c r="A110" s="553"/>
      <c r="B110" s="552"/>
      <c r="C110" s="550"/>
      <c r="D110" s="549"/>
      <c r="E110" s="551"/>
      <c r="F110" s="550"/>
      <c r="G110" s="549"/>
      <c r="H110" s="551"/>
      <c r="I110" s="550"/>
      <c r="J110" s="549"/>
    </row>
    <row r="111" spans="1:10" ht="20.100000000000001" customHeight="1" x14ac:dyDescent="0.25">
      <c r="A111" s="321" t="s">
        <v>402</v>
      </c>
      <c r="C111" s="313">
        <f>C19</f>
        <v>956004451.63622594</v>
      </c>
      <c r="D111" s="314">
        <f>C111/C109</f>
        <v>0.35400656721844115</v>
      </c>
      <c r="E111" s="356"/>
      <c r="F111" s="313">
        <f>F19</f>
        <v>728214591.88000011</v>
      </c>
      <c r="G111" s="314">
        <f>F111/F109</f>
        <v>0.32592583538081088</v>
      </c>
      <c r="H111" s="356"/>
      <c r="I111" s="313">
        <f>C111-F111</f>
        <v>227789859.75622582</v>
      </c>
      <c r="J111" s="548">
        <f>I111/F111</f>
        <v>0.31280595348707663</v>
      </c>
    </row>
    <row r="112" spans="1:10" ht="20.100000000000001" customHeight="1" x14ac:dyDescent="0.25">
      <c r="A112" s="321" t="s">
        <v>397</v>
      </c>
      <c r="C112" s="543">
        <f>C109-C111</f>
        <v>1744522996.6196129</v>
      </c>
      <c r="D112" s="547">
        <f>C112/C109</f>
        <v>0.64599343278155885</v>
      </c>
      <c r="E112" s="356"/>
      <c r="F112" s="543">
        <f>F109-F111</f>
        <v>1506080799.368</v>
      </c>
      <c r="G112" s="547">
        <f>+F112/$F$11</f>
        <v>0.67407416461918912</v>
      </c>
      <c r="H112" s="356"/>
      <c r="I112" s="543">
        <f>C112-F112</f>
        <v>238442197.2516129</v>
      </c>
      <c r="J112" s="546">
        <f>I112/F112</f>
        <v>0.15831965811639781</v>
      </c>
    </row>
    <row r="114" spans="1:10" ht="20.100000000000001" customHeight="1" x14ac:dyDescent="0.25">
      <c r="A114" s="321" t="s">
        <v>403</v>
      </c>
      <c r="C114" s="364">
        <f>C40</f>
        <v>582460505.43124366</v>
      </c>
      <c r="D114" s="479">
        <f>C114/C109</f>
        <v>0.21568397899729969</v>
      </c>
      <c r="E114" s="356"/>
      <c r="F114" s="364">
        <f>F40</f>
        <v>566917067</v>
      </c>
      <c r="G114" s="479">
        <f>F114/F109</f>
        <v>0.2537341612128286</v>
      </c>
      <c r="H114" s="356"/>
      <c r="I114" s="313">
        <f>C114-F114</f>
        <v>15543438.431243658</v>
      </c>
      <c r="J114" s="545">
        <f>I114/F114</f>
        <v>2.7417481914058617E-2</v>
      </c>
    </row>
    <row r="115" spans="1:10" ht="20.100000000000001" customHeight="1" x14ac:dyDescent="0.25">
      <c r="A115" s="321" t="s">
        <v>246</v>
      </c>
      <c r="C115" s="543">
        <f>C86</f>
        <v>776099173.49910641</v>
      </c>
      <c r="D115" s="544">
        <f>C115/C109</f>
        <v>0.28738799674128745</v>
      </c>
      <c r="E115" s="356"/>
      <c r="F115" s="543">
        <f>F86</f>
        <v>568712571.8857348</v>
      </c>
      <c r="G115" s="544">
        <f>F115/F109</f>
        <v>0.25453777245097015</v>
      </c>
      <c r="H115" s="356"/>
      <c r="I115" s="543">
        <f>C115-F115</f>
        <v>207386601.61337161</v>
      </c>
      <c r="J115" s="542">
        <f>I115/F115</f>
        <v>0.36465978046822489</v>
      </c>
    </row>
    <row r="116" spans="1:10" ht="20.100000000000001" customHeight="1" x14ac:dyDescent="0.25">
      <c r="A116" s="321" t="s">
        <v>247</v>
      </c>
      <c r="C116" s="540">
        <f>C87</f>
        <v>2314564130.566576</v>
      </c>
      <c r="D116" s="541">
        <f>C116/C109</f>
        <v>0.85707854295702834</v>
      </c>
      <c r="E116" s="356"/>
      <c r="F116" s="540">
        <f>F87</f>
        <v>1863844230.7657349</v>
      </c>
      <c r="G116" s="541">
        <f>F116/F109</f>
        <v>0.83419776904460963</v>
      </c>
      <c r="H116" s="356"/>
      <c r="I116" s="540">
        <f>C116-F116</f>
        <v>450719899.80084109</v>
      </c>
      <c r="J116" s="539">
        <f>I116/F116</f>
        <v>0.24182272979736563</v>
      </c>
    </row>
    <row r="117" spans="1:10" ht="20.100000000000001" customHeight="1" x14ac:dyDescent="0.25">
      <c r="A117" s="376"/>
      <c r="C117" s="348"/>
      <c r="D117" s="377"/>
      <c r="E117" s="356"/>
      <c r="F117" s="348"/>
      <c r="G117" s="377"/>
      <c r="H117" s="356"/>
      <c r="I117" s="348"/>
      <c r="J117" s="416"/>
    </row>
    <row r="118" spans="1:10" ht="20.100000000000001" customHeight="1" x14ac:dyDescent="0.25">
      <c r="A118" s="321" t="s">
        <v>398</v>
      </c>
      <c r="C118" s="313">
        <f>C109-C116</f>
        <v>385963317.68926287</v>
      </c>
      <c r="D118" s="366">
        <f>C118/C109</f>
        <v>0.14292145704297171</v>
      </c>
      <c r="E118" s="356"/>
      <c r="F118" s="313">
        <f>F109-F116</f>
        <v>370451160.48226523</v>
      </c>
      <c r="G118" s="366">
        <f>F118/F109</f>
        <v>0.16580223095539037</v>
      </c>
      <c r="H118" s="356"/>
      <c r="I118" s="313">
        <f>C118-F118</f>
        <v>15512157.206997633</v>
      </c>
      <c r="J118" s="326">
        <f>I118/F118</f>
        <v>4.1873690412532132E-2</v>
      </c>
    </row>
    <row r="120" spans="1:10" ht="20.100000000000001" customHeight="1" x14ac:dyDescent="0.25">
      <c r="A120" s="321" t="s">
        <v>405</v>
      </c>
      <c r="C120" s="313">
        <f>C96</f>
        <v>26549802.567401879</v>
      </c>
      <c r="D120" s="371">
        <f>C120/C109</f>
        <v>9.8313396460936991E-3</v>
      </c>
      <c r="E120" s="356"/>
      <c r="F120" s="313">
        <f>F96</f>
        <v>36076463.567401879</v>
      </c>
      <c r="G120" s="371">
        <f>F120/F109</f>
        <v>1.6146684860344637E-2</v>
      </c>
      <c r="H120" s="356"/>
      <c r="I120" s="313">
        <f>C120-F120</f>
        <v>-9526661</v>
      </c>
      <c r="J120" s="365">
        <f>IF(F120&lt;&gt;0,I120/F120,0)</f>
        <v>-0.26406859370240882</v>
      </c>
    </row>
    <row r="122" spans="1:10" ht="20.100000000000001" customHeight="1" x14ac:dyDescent="0.3">
      <c r="A122" s="538" t="s">
        <v>399</v>
      </c>
      <c r="B122" s="537"/>
      <c r="C122" s="536">
        <f>C118+C120</f>
        <v>412513120.25666475</v>
      </c>
      <c r="D122" s="535">
        <f>C122/C109</f>
        <v>0.15275279668906541</v>
      </c>
      <c r="E122" s="534"/>
      <c r="F122" s="536">
        <f>F118+F120</f>
        <v>406527624.04966712</v>
      </c>
      <c r="G122" s="535">
        <f>F122/F109</f>
        <v>0.18194891581573502</v>
      </c>
      <c r="H122" s="534"/>
      <c r="I122" s="533">
        <f>C122-F122</f>
        <v>5985496.206997633</v>
      </c>
      <c r="J122" s="532">
        <f>I122/F122</f>
        <v>1.472346736827498E-2</v>
      </c>
    </row>
    <row r="127" spans="1:10" ht="20.100000000000001" customHeight="1" x14ac:dyDescent="0.25">
      <c r="C127" s="360">
        <f>C122-C99</f>
        <v>0</v>
      </c>
      <c r="F127" s="360">
        <f>F122-F99</f>
        <v>0</v>
      </c>
    </row>
  </sheetData>
  <mergeCells count="10">
    <mergeCell ref="A43:A44"/>
    <mergeCell ref="A91:A92"/>
    <mergeCell ref="G102:J102"/>
    <mergeCell ref="G103:J103"/>
    <mergeCell ref="A1:J1"/>
    <mergeCell ref="A2:J2"/>
    <mergeCell ref="C3:J3"/>
    <mergeCell ref="A7:A8"/>
    <mergeCell ref="A14:A15"/>
    <mergeCell ref="A23:A24"/>
  </mergeCells>
  <pageMargins left="0.70866141732283472" right="0.70866141732283472" top="0.74803149606299213" bottom="1.1417322834645669" header="0.31496062992125984" footer="0.31496062992125984"/>
  <pageSetup scale="70" firstPageNumber="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tabColor rgb="FFFF0000"/>
  </sheetPr>
  <dimension ref="A1:J212"/>
  <sheetViews>
    <sheetView topLeftCell="A64" zoomScaleNormal="100" workbookViewId="0">
      <selection activeCell="B95" sqref="B95"/>
    </sheetView>
  </sheetViews>
  <sheetFormatPr baseColWidth="10" defaultRowHeight="20.100000000000001" customHeight="1" x14ac:dyDescent="0.25"/>
  <cols>
    <col min="1" max="1" width="7.33203125" style="295" customWidth="1"/>
    <col min="2" max="2" width="38" style="295" customWidth="1"/>
    <col min="3" max="3" width="2.44140625" style="298" customWidth="1"/>
    <col min="4" max="4" width="14.77734375" style="295" customWidth="1"/>
    <col min="5" max="5" width="13.77734375" style="310" customWidth="1"/>
    <col min="6" max="6" width="13.33203125" style="295" bestFit="1" customWidth="1"/>
    <col min="7" max="8" width="11.5546875" style="295"/>
    <col min="9" max="9" width="33.5546875" style="295" bestFit="1" customWidth="1"/>
    <col min="10" max="16384" width="11.5546875" style="295"/>
  </cols>
  <sheetData>
    <row r="1" spans="1:5" s="343" customFormat="1" ht="20.100000000000001" customHeight="1" x14ac:dyDescent="0.3">
      <c r="A1" s="1173"/>
      <c r="B1" s="1173"/>
      <c r="C1" s="1173"/>
      <c r="D1" s="1173"/>
      <c r="E1" s="1173"/>
    </row>
    <row r="2" spans="1:5" s="343" customFormat="1" ht="20.100000000000001" customHeight="1" x14ac:dyDescent="0.3">
      <c r="A2" s="1173"/>
      <c r="B2" s="1173"/>
      <c r="C2" s="1173"/>
      <c r="D2" s="1173"/>
      <c r="E2" s="1173"/>
    </row>
    <row r="3" spans="1:5" s="343" customFormat="1" ht="20.100000000000001" customHeight="1" x14ac:dyDescent="0.3">
      <c r="A3" s="1173"/>
      <c r="B3" s="1173"/>
      <c r="C3" s="1173"/>
      <c r="D3" s="1173"/>
      <c r="E3" s="1173"/>
    </row>
    <row r="4" spans="1:5" s="346" customFormat="1" ht="20.100000000000001" customHeight="1" x14ac:dyDescent="0.25"/>
    <row r="5" spans="1:5" s="346" customFormat="1" ht="20.100000000000001" customHeight="1" x14ac:dyDescent="0.25"/>
    <row r="6" spans="1:5" ht="14.25" x14ac:dyDescent="0.25">
      <c r="A6" s="1174" t="s">
        <v>370</v>
      </c>
      <c r="B6" s="1175"/>
      <c r="D6" s="1178"/>
      <c r="E6" s="1178"/>
    </row>
    <row r="7" spans="1:5" ht="14.25" x14ac:dyDescent="0.25">
      <c r="A7" s="1176"/>
      <c r="B7" s="1177"/>
      <c r="D7" s="334">
        <v>2022</v>
      </c>
      <c r="E7" s="335" t="s">
        <v>394</v>
      </c>
    </row>
    <row r="8" spans="1:5" ht="14.25" x14ac:dyDescent="0.25">
      <c r="A8" s="1154" t="s">
        <v>27</v>
      </c>
      <c r="B8" s="1154"/>
      <c r="D8" s="313">
        <f>SUM(D9:D12)</f>
        <v>2922955549.0500002</v>
      </c>
      <c r="E8" s="314">
        <f t="shared" ref="E8:E13" si="0">D8/$D$52</f>
        <v>6.3606506869258048E-2</v>
      </c>
    </row>
    <row r="9" spans="1:5" ht="14.25" x14ac:dyDescent="0.25">
      <c r="A9" s="1156">
        <v>1105</v>
      </c>
      <c r="B9" s="342" t="s">
        <v>170</v>
      </c>
      <c r="D9" s="1157">
        <v>0</v>
      </c>
      <c r="E9" s="317">
        <f t="shared" si="0"/>
        <v>0</v>
      </c>
    </row>
    <row r="10" spans="1:5" ht="14.25" x14ac:dyDescent="0.25">
      <c r="A10" s="1156">
        <v>1110</v>
      </c>
      <c r="B10" s="312" t="s">
        <v>259</v>
      </c>
      <c r="D10" s="1157">
        <f>+LINIX!C4</f>
        <v>2860235506.27</v>
      </c>
      <c r="E10" s="317">
        <f t="shared" si="0"/>
        <v>6.2241654491252213E-2</v>
      </c>
    </row>
    <row r="11" spans="1:5" ht="14.25" x14ac:dyDescent="0.25">
      <c r="A11" s="1156">
        <v>1115</v>
      </c>
      <c r="B11" s="312" t="s">
        <v>260</v>
      </c>
      <c r="D11" s="1157">
        <v>0</v>
      </c>
      <c r="E11" s="317">
        <f t="shared" si="0"/>
        <v>0</v>
      </c>
    </row>
    <row r="12" spans="1:5" ht="14.25" x14ac:dyDescent="0.25">
      <c r="A12" s="1156">
        <v>1120</v>
      </c>
      <c r="B12" s="312" t="s">
        <v>29</v>
      </c>
      <c r="D12" s="1157">
        <f>+LINIX!C17</f>
        <v>62720042.780000001</v>
      </c>
      <c r="E12" s="317">
        <f t="shared" si="0"/>
        <v>1.3648523780058297E-3</v>
      </c>
    </row>
    <row r="13" spans="1:5" ht="14.25" x14ac:dyDescent="0.25">
      <c r="A13" s="322" t="s">
        <v>28</v>
      </c>
      <c r="B13" s="1158"/>
      <c r="D13" s="313">
        <f>SUM(D14:D16)</f>
        <v>3306752156</v>
      </c>
      <c r="E13" s="314">
        <f t="shared" si="0"/>
        <v>7.1958314177548222E-2</v>
      </c>
    </row>
    <row r="14" spans="1:5" ht="14.25" x14ac:dyDescent="0.25">
      <c r="A14" s="1156">
        <v>1215</v>
      </c>
      <c r="B14" s="312" t="s">
        <v>261</v>
      </c>
      <c r="D14" s="312">
        <f>+LINIX!C25</f>
        <v>19465099</v>
      </c>
      <c r="E14" s="317">
        <f>D15/$D$52</f>
        <v>4.3029884720984408E-2</v>
      </c>
    </row>
    <row r="15" spans="1:5" ht="14.25" x14ac:dyDescent="0.25">
      <c r="A15" s="1156">
        <v>1203</v>
      </c>
      <c r="B15" s="312" t="s">
        <v>680</v>
      </c>
      <c r="D15" s="319">
        <f>+LINIX!C24</f>
        <v>1977383235</v>
      </c>
      <c r="E15" s="317">
        <f t="shared" ref="E15:E51" si="1">D15/$D$52</f>
        <v>4.3029884720984408E-2</v>
      </c>
    </row>
    <row r="16" spans="1:5" ht="14.25" x14ac:dyDescent="0.25">
      <c r="A16" s="1159">
        <v>1218</v>
      </c>
      <c r="B16" s="529" t="s">
        <v>1180</v>
      </c>
      <c r="D16" s="319">
        <f>+LINIX!C29</f>
        <v>1309903822</v>
      </c>
      <c r="E16" s="317">
        <f t="shared" si="1"/>
        <v>2.8504848963300168E-2</v>
      </c>
    </row>
    <row r="17" spans="1:8" ht="14.25" x14ac:dyDescent="0.25">
      <c r="A17" s="322" t="s">
        <v>171</v>
      </c>
      <c r="B17" s="323"/>
      <c r="D17" s="313">
        <f>D18+D29+D30+D20+D27</f>
        <v>36492534976.5</v>
      </c>
      <c r="E17" s="314">
        <f t="shared" si="1"/>
        <v>0.79411494212212563</v>
      </c>
    </row>
    <row r="18" spans="1:8" ht="14.25" x14ac:dyDescent="0.25">
      <c r="A18" s="1184" t="s">
        <v>262</v>
      </c>
      <c r="B18" s="1185"/>
      <c r="D18" s="313">
        <f>D21</f>
        <v>33618798977.5</v>
      </c>
      <c r="E18" s="314">
        <f t="shared" si="1"/>
        <v>0.73157950307987396</v>
      </c>
    </row>
    <row r="19" spans="1:8" ht="14.25" x14ac:dyDescent="0.25">
      <c r="A19" s="1182" t="s">
        <v>988</v>
      </c>
      <c r="B19" s="1183"/>
      <c r="D19" s="313">
        <f>D20</f>
        <v>0</v>
      </c>
      <c r="E19" s="314">
        <f t="shared" si="1"/>
        <v>0</v>
      </c>
    </row>
    <row r="20" spans="1:8" ht="14.25" x14ac:dyDescent="0.25">
      <c r="A20" s="320">
        <v>141105</v>
      </c>
      <c r="B20" s="530" t="s">
        <v>987</v>
      </c>
      <c r="D20" s="319">
        <v>0</v>
      </c>
      <c r="E20" s="531">
        <f t="shared" si="1"/>
        <v>0</v>
      </c>
      <c r="F20" s="830"/>
      <c r="G20" s="295">
        <v>141105</v>
      </c>
      <c r="H20" s="295" t="s">
        <v>987</v>
      </c>
    </row>
    <row r="21" spans="1:8" ht="14.25" x14ac:dyDescent="0.25">
      <c r="A21" s="1186" t="s">
        <v>991</v>
      </c>
      <c r="B21" s="1187"/>
      <c r="D21" s="1160">
        <f>D22+D23+D24+D25+D26</f>
        <v>33618798977.5</v>
      </c>
      <c r="E21" s="314">
        <f t="shared" si="1"/>
        <v>0.73157950307987396</v>
      </c>
      <c r="F21" s="830"/>
      <c r="G21" s="295" t="s">
        <v>991</v>
      </c>
    </row>
    <row r="22" spans="1:8" ht="14.25" x14ac:dyDescent="0.25">
      <c r="A22" s="320">
        <v>144105</v>
      </c>
      <c r="B22" s="1161" t="s">
        <v>444</v>
      </c>
      <c r="D22" s="319">
        <f>+LINIX!C35</f>
        <v>33225528360.5</v>
      </c>
      <c r="E22" s="317">
        <f t="shared" si="1"/>
        <v>0.72302153160821814</v>
      </c>
      <c r="F22" s="830"/>
      <c r="G22" s="295">
        <v>144105</v>
      </c>
      <c r="H22" s="295" t="s">
        <v>444</v>
      </c>
    </row>
    <row r="23" spans="1:8" ht="14.25" x14ac:dyDescent="0.25">
      <c r="A23" s="1156">
        <v>144110</v>
      </c>
      <c r="B23" s="342" t="s">
        <v>445</v>
      </c>
      <c r="D23" s="319">
        <f>+LINIX!C37</f>
        <v>249830008</v>
      </c>
      <c r="E23" s="317">
        <f t="shared" si="1"/>
        <v>5.4365568868002525E-3</v>
      </c>
      <c r="F23" s="830"/>
      <c r="G23" s="295">
        <v>144110</v>
      </c>
      <c r="H23" s="295" t="s">
        <v>445</v>
      </c>
    </row>
    <row r="24" spans="1:8" ht="14.25" x14ac:dyDescent="0.25">
      <c r="A24" s="1156">
        <v>144115</v>
      </c>
      <c r="B24" s="342" t="s">
        <v>447</v>
      </c>
      <c r="D24" s="319">
        <f>+LINIX!C38</f>
        <v>93215240</v>
      </c>
      <c r="E24" s="317">
        <f t="shared" si="1"/>
        <v>2.0284591071891506E-3</v>
      </c>
      <c r="F24" s="830"/>
      <c r="G24" s="295">
        <v>144115</v>
      </c>
      <c r="H24" s="295" t="s">
        <v>447</v>
      </c>
    </row>
    <row r="25" spans="1:8" ht="14.25" x14ac:dyDescent="0.25">
      <c r="A25" s="1156">
        <v>144120</v>
      </c>
      <c r="B25" s="342" t="s">
        <v>446</v>
      </c>
      <c r="D25" s="319">
        <f>+LINIX!C40</f>
        <v>25140469</v>
      </c>
      <c r="E25" s="317">
        <f t="shared" si="1"/>
        <v>5.470823580141672E-4</v>
      </c>
      <c r="G25" s="295">
        <v>144120</v>
      </c>
      <c r="H25" s="295" t="s">
        <v>446</v>
      </c>
    </row>
    <row r="26" spans="1:8" ht="14.25" x14ac:dyDescent="0.25">
      <c r="A26" s="1156">
        <v>144125</v>
      </c>
      <c r="B26" s="342" t="s">
        <v>448</v>
      </c>
      <c r="D26" s="319">
        <f>+LINIX!C43</f>
        <v>25084900</v>
      </c>
      <c r="E26" s="317">
        <f t="shared" si="1"/>
        <v>5.4587311965220632E-4</v>
      </c>
      <c r="G26" s="295">
        <v>144125</v>
      </c>
      <c r="H26" s="295" t="s">
        <v>448</v>
      </c>
    </row>
    <row r="27" spans="1:8" ht="14.25" x14ac:dyDescent="0.25">
      <c r="A27" s="1179" t="s">
        <v>990</v>
      </c>
      <c r="B27" s="1180"/>
      <c r="D27" s="1160">
        <f>+D28</f>
        <v>4204674868</v>
      </c>
      <c r="E27" s="317">
        <f t="shared" si="1"/>
        <v>9.1498032175467661E-2</v>
      </c>
      <c r="G27" s="295" t="s">
        <v>990</v>
      </c>
    </row>
    <row r="28" spans="1:8" ht="14.25" x14ac:dyDescent="0.25">
      <c r="A28" s="320">
        <v>144205</v>
      </c>
      <c r="B28" s="342" t="s">
        <v>989</v>
      </c>
      <c r="D28" s="319">
        <f>+LINIX!C44</f>
        <v>4204674868</v>
      </c>
      <c r="E28" s="317">
        <f t="shared" si="1"/>
        <v>9.1498032175467661E-2</v>
      </c>
      <c r="G28" s="295">
        <v>144205</v>
      </c>
      <c r="H28" s="295" t="s">
        <v>989</v>
      </c>
    </row>
    <row r="29" spans="1:8" ht="14.25" x14ac:dyDescent="0.25">
      <c r="A29" s="320">
        <v>149100</v>
      </c>
      <c r="B29" s="342" t="s">
        <v>126</v>
      </c>
      <c r="D29" s="319">
        <f>+LINIX!C55</f>
        <v>-943431803</v>
      </c>
      <c r="E29" s="317">
        <f t="shared" si="1"/>
        <v>-2.0530042435198695E-2</v>
      </c>
    </row>
    <row r="30" spans="1:8" ht="14.25" x14ac:dyDescent="0.25">
      <c r="A30" s="320">
        <v>149800</v>
      </c>
      <c r="B30" s="342" t="s">
        <v>127</v>
      </c>
      <c r="D30" s="319">
        <f>+LINIX!C64</f>
        <v>-387507066</v>
      </c>
      <c r="E30" s="317">
        <f t="shared" si="1"/>
        <v>-8.4325506980172694E-3</v>
      </c>
    </row>
    <row r="31" spans="1:8" ht="14.25" x14ac:dyDescent="0.25">
      <c r="A31" s="322" t="s">
        <v>172</v>
      </c>
      <c r="B31" s="323"/>
      <c r="D31" s="313">
        <f>SUM(D32:D38)</f>
        <v>2459155061</v>
      </c>
      <c r="E31" s="314">
        <f t="shared" si="1"/>
        <v>5.3513733156463919E-2</v>
      </c>
    </row>
    <row r="32" spans="1:8" ht="14.25" x14ac:dyDescent="0.25">
      <c r="A32" s="320">
        <v>1625</v>
      </c>
      <c r="B32" s="312" t="s">
        <v>396</v>
      </c>
      <c r="D32" s="318">
        <f>+LINIX!C70+LINIX!C79+LINIX!C84</f>
        <v>41237716</v>
      </c>
      <c r="E32" s="317">
        <f t="shared" si="1"/>
        <v>8.9737494190735077E-4</v>
      </c>
    </row>
    <row r="33" spans="1:5" ht="14.25" x14ac:dyDescent="0.25">
      <c r="A33" s="320">
        <v>1675</v>
      </c>
      <c r="B33" s="312" t="s">
        <v>1452</v>
      </c>
      <c r="D33" s="318">
        <f>+LINIX!C123</f>
        <v>0</v>
      </c>
      <c r="E33" s="317">
        <f t="shared" si="1"/>
        <v>0</v>
      </c>
    </row>
    <row r="34" spans="1:5" ht="14.25" x14ac:dyDescent="0.25">
      <c r="A34" s="1084">
        <v>1640</v>
      </c>
      <c r="B34" s="1085" t="s">
        <v>174</v>
      </c>
      <c r="C34" s="1086"/>
      <c r="D34" s="1003">
        <f>+LINIX!C87</f>
        <v>928102897</v>
      </c>
      <c r="E34" s="317">
        <f t="shared" si="1"/>
        <v>2.019646973851362E-2</v>
      </c>
    </row>
    <row r="35" spans="1:5" ht="14.25" x14ac:dyDescent="0.25">
      <c r="A35" s="320">
        <v>1650</v>
      </c>
      <c r="B35" s="312" t="s">
        <v>263</v>
      </c>
      <c r="D35" s="318">
        <f>+LINIX!C92</f>
        <v>869896340</v>
      </c>
      <c r="E35" s="317">
        <f t="shared" si="1"/>
        <v>1.8929835434458035E-2</v>
      </c>
    </row>
    <row r="36" spans="1:5" ht="14.25" x14ac:dyDescent="0.25">
      <c r="A36" s="320">
        <v>1655</v>
      </c>
      <c r="B36" s="312" t="s">
        <v>442</v>
      </c>
      <c r="D36" s="318">
        <f>+LINIX!C95</f>
        <v>137626953</v>
      </c>
      <c r="E36" s="317">
        <f t="shared" si="1"/>
        <v>2.9949034750920904E-3</v>
      </c>
    </row>
    <row r="37" spans="1:5" ht="14.25" x14ac:dyDescent="0.25">
      <c r="A37" s="320">
        <v>1690</v>
      </c>
      <c r="B37" s="312" t="s">
        <v>30</v>
      </c>
      <c r="D37" s="318">
        <f>+LINIX!C121+LINIX!C126</f>
        <v>543340905</v>
      </c>
      <c r="E37" s="317">
        <f t="shared" si="1"/>
        <v>1.1823654662645778E-2</v>
      </c>
    </row>
    <row r="38" spans="1:5" ht="14.25" x14ac:dyDescent="0.25">
      <c r="A38" s="528">
        <v>1696</v>
      </c>
      <c r="B38" s="529" t="s">
        <v>986</v>
      </c>
      <c r="D38" s="318">
        <f>+LINIX!C137</f>
        <v>-61049750</v>
      </c>
      <c r="E38" s="317">
        <f t="shared" si="1"/>
        <v>-1.3285050961529558E-3</v>
      </c>
    </row>
    <row r="39" spans="1:5" ht="14.25" x14ac:dyDescent="0.25">
      <c r="A39" s="322" t="s">
        <v>32</v>
      </c>
      <c r="B39" s="323"/>
      <c r="D39" s="313">
        <f>SUM(D40:D43)+D44</f>
        <v>663998811.45000005</v>
      </c>
      <c r="E39" s="314">
        <f t="shared" si="1"/>
        <v>1.444929430261108E-2</v>
      </c>
    </row>
    <row r="40" spans="1:5" ht="14.25" x14ac:dyDescent="0.25">
      <c r="A40" s="320">
        <v>1715</v>
      </c>
      <c r="B40" s="312" t="s">
        <v>264</v>
      </c>
      <c r="D40" s="318">
        <f>+LINIX!C145</f>
        <v>923802225</v>
      </c>
      <c r="E40" s="317">
        <f t="shared" si="1"/>
        <v>2.010288271041142E-2</v>
      </c>
    </row>
    <row r="41" spans="1:5" ht="14.25" x14ac:dyDescent="0.25">
      <c r="A41" s="320">
        <v>1720</v>
      </c>
      <c r="B41" s="312" t="s">
        <v>265</v>
      </c>
      <c r="D41" s="318">
        <f>+LINIX!C148</f>
        <v>85856472</v>
      </c>
      <c r="E41" s="317">
        <f t="shared" si="1"/>
        <v>1.86832477757425E-3</v>
      </c>
    </row>
    <row r="42" spans="1:5" ht="14.25" x14ac:dyDescent="0.25">
      <c r="A42" s="320">
        <v>1725</v>
      </c>
      <c r="B42" s="312" t="s">
        <v>391</v>
      </c>
      <c r="D42" s="318">
        <f>+LINIX!C153</f>
        <v>149532455.44999999</v>
      </c>
      <c r="E42" s="317">
        <f t="shared" si="1"/>
        <v>3.2539794037746237E-3</v>
      </c>
    </row>
    <row r="43" spans="1:5" ht="14.25" x14ac:dyDescent="0.25">
      <c r="A43" s="320">
        <v>1770</v>
      </c>
      <c r="B43" s="312" t="s">
        <v>650</v>
      </c>
      <c r="D43" s="318">
        <v>0</v>
      </c>
      <c r="E43" s="317">
        <f t="shared" si="1"/>
        <v>0</v>
      </c>
    </row>
    <row r="44" spans="1:5" ht="14.25" x14ac:dyDescent="0.25">
      <c r="A44" s="320">
        <v>1795</v>
      </c>
      <c r="B44" s="312" t="s">
        <v>266</v>
      </c>
      <c r="D44" s="318">
        <f>+LINIX!C158</f>
        <v>-495192341</v>
      </c>
      <c r="E44" s="317">
        <f t="shared" si="1"/>
        <v>-1.0775892589149216E-2</v>
      </c>
    </row>
    <row r="45" spans="1:5" ht="14.25" x14ac:dyDescent="0.25">
      <c r="A45" s="1162" t="s">
        <v>118</v>
      </c>
      <c r="B45" s="1162"/>
      <c r="D45" s="313">
        <f>SUM(D46:D46)</f>
        <v>14280000</v>
      </c>
      <c r="E45" s="314">
        <f t="shared" si="1"/>
        <v>3.107474276809358E-4</v>
      </c>
    </row>
    <row r="46" spans="1:5" ht="14.25" x14ac:dyDescent="0.25">
      <c r="A46" s="320">
        <v>1810</v>
      </c>
      <c r="B46" s="312" t="s">
        <v>117</v>
      </c>
      <c r="D46" s="318">
        <f>+LINIX!C165</f>
        <v>14280000</v>
      </c>
      <c r="E46" s="317">
        <f t="shared" si="1"/>
        <v>3.107474276809358E-4</v>
      </c>
    </row>
    <row r="47" spans="1:5" ht="14.25" x14ac:dyDescent="0.25">
      <c r="A47" s="1162" t="s">
        <v>119</v>
      </c>
      <c r="B47" s="1162"/>
      <c r="D47" s="313">
        <f>SUM(D48:D51)</f>
        <v>94042537.319999993</v>
      </c>
      <c r="E47" s="314">
        <f t="shared" si="1"/>
        <v>2.0464619443122129E-3</v>
      </c>
    </row>
    <row r="48" spans="1:5" ht="14.25" x14ac:dyDescent="0.25">
      <c r="A48" s="320">
        <v>1910</v>
      </c>
      <c r="B48" s="312" t="s">
        <v>34</v>
      </c>
      <c r="D48" s="318">
        <f>+LINIX!C170</f>
        <v>57045384.32</v>
      </c>
      <c r="E48" s="317">
        <f t="shared" si="1"/>
        <v>1.241365997094565E-3</v>
      </c>
    </row>
    <row r="49" spans="1:10" ht="14.25" x14ac:dyDescent="0.25">
      <c r="A49" s="320">
        <v>1985</v>
      </c>
      <c r="B49" s="312" t="s">
        <v>35</v>
      </c>
      <c r="D49" s="318">
        <v>0</v>
      </c>
      <c r="E49" s="317">
        <f t="shared" si="1"/>
        <v>0</v>
      </c>
    </row>
    <row r="50" spans="1:10" ht="14.25" x14ac:dyDescent="0.25">
      <c r="A50" s="320">
        <v>1987</v>
      </c>
      <c r="B50" s="312" t="s">
        <v>176</v>
      </c>
      <c r="D50" s="318">
        <f>+LINIX!C174</f>
        <v>36997153</v>
      </c>
      <c r="E50" s="317">
        <f t="shared" si="1"/>
        <v>8.0509594721764821E-4</v>
      </c>
    </row>
    <row r="51" spans="1:10" ht="14.25" x14ac:dyDescent="0.25">
      <c r="A51" s="320">
        <v>1995</v>
      </c>
      <c r="B51" s="312" t="s">
        <v>46</v>
      </c>
      <c r="D51" s="318">
        <v>0</v>
      </c>
      <c r="E51" s="317">
        <f t="shared" si="1"/>
        <v>0</v>
      </c>
    </row>
    <row r="52" spans="1:10" ht="15.75" x14ac:dyDescent="0.25">
      <c r="A52" s="340" t="s">
        <v>267</v>
      </c>
      <c r="B52" s="340"/>
      <c r="D52" s="336">
        <f>+D8+D13+D17+D31+D39+D45+D47</f>
        <v>45953719091.32</v>
      </c>
      <c r="E52" s="337">
        <f>D52/$D$52</f>
        <v>1</v>
      </c>
      <c r="F52" s="795">
        <v>44061718406.360001</v>
      </c>
    </row>
    <row r="53" spans="1:10" ht="14.25" x14ac:dyDescent="0.25">
      <c r="A53" s="345"/>
      <c r="B53" s="345"/>
      <c r="D53" s="346">
        <f>D52*1.414%</f>
        <v>649785587.95126474</v>
      </c>
      <c r="E53" s="347"/>
      <c r="F53" s="295">
        <f>+D52-F52</f>
        <v>1892000684.9599991</v>
      </c>
    </row>
    <row r="54" spans="1:10" ht="14.25" x14ac:dyDescent="0.25">
      <c r="A54" s="343"/>
      <c r="B54" s="343"/>
      <c r="D54" s="348"/>
      <c r="E54" s="349"/>
    </row>
    <row r="55" spans="1:10" ht="15.75" customHeight="1" x14ac:dyDescent="0.25">
      <c r="A55" s="1174" t="s">
        <v>395</v>
      </c>
      <c r="B55" s="1175"/>
      <c r="D55" s="350"/>
      <c r="E55" s="351"/>
    </row>
    <row r="56" spans="1:10" ht="15.75" customHeight="1" x14ac:dyDescent="0.25">
      <c r="A56" s="1176"/>
      <c r="B56" s="1177"/>
      <c r="D56" s="334">
        <f>+D7</f>
        <v>2022</v>
      </c>
      <c r="E56" s="335" t="s">
        <v>394</v>
      </c>
    </row>
    <row r="57" spans="1:10" ht="14.25" x14ac:dyDescent="0.25">
      <c r="A57" s="327" t="s">
        <v>177</v>
      </c>
      <c r="B57" s="328"/>
      <c r="D57" s="313">
        <f>SUM(D58:D61)</f>
        <v>34731528315.580002</v>
      </c>
      <c r="E57" s="314">
        <f t="shared" ref="E57:E81" si="2">D57/$D$89</f>
        <v>0.89637146759831754</v>
      </c>
    </row>
    <row r="58" spans="1:10" ht="14.25" x14ac:dyDescent="0.25">
      <c r="A58" s="320">
        <v>2105</v>
      </c>
      <c r="B58" s="530" t="s">
        <v>1239</v>
      </c>
      <c r="D58" s="318">
        <f>+LINIX!C181</f>
        <v>353652316</v>
      </c>
      <c r="E58" s="792">
        <f t="shared" si="2"/>
        <v>9.1272645025027924E-3</v>
      </c>
    </row>
    <row r="59" spans="1:10" ht="14.25" x14ac:dyDescent="0.25">
      <c r="A59" s="320">
        <v>2110</v>
      </c>
      <c r="B59" s="312" t="s">
        <v>36</v>
      </c>
      <c r="D59" s="318">
        <f>+LINIX!C182</f>
        <v>14159456137</v>
      </c>
      <c r="E59" s="315">
        <f t="shared" si="2"/>
        <v>0.36543547299711565</v>
      </c>
    </row>
    <row r="60" spans="1:10" ht="15.75" customHeight="1" x14ac:dyDescent="0.25">
      <c r="A60" s="320">
        <v>2125</v>
      </c>
      <c r="B60" s="312" t="s">
        <v>268</v>
      </c>
      <c r="D60" s="318">
        <f>+LINIX!C191</f>
        <v>855195395</v>
      </c>
      <c r="E60" s="315">
        <f t="shared" si="2"/>
        <v>2.2071379765790516E-2</v>
      </c>
    </row>
    <row r="61" spans="1:10" ht="14.25" x14ac:dyDescent="0.25">
      <c r="A61" s="320">
        <v>2130</v>
      </c>
      <c r="B61" s="312" t="s">
        <v>269</v>
      </c>
      <c r="D61" s="318">
        <f>+LINIX!C196</f>
        <v>19363224467.580002</v>
      </c>
      <c r="E61" s="315">
        <f t="shared" si="2"/>
        <v>0.49973735033290856</v>
      </c>
    </row>
    <row r="62" spans="1:10" ht="14.25" x14ac:dyDescent="0.25">
      <c r="A62" s="322" t="s">
        <v>270</v>
      </c>
      <c r="B62" s="323"/>
      <c r="D62" s="313">
        <f>SUM(D63:D64)</f>
        <v>2504070091</v>
      </c>
      <c r="E62" s="314">
        <f t="shared" si="2"/>
        <v>6.4626496192275007E-2</v>
      </c>
      <c r="H62" s="295">
        <v>2415</v>
      </c>
      <c r="I62" s="295" t="s">
        <v>178</v>
      </c>
      <c r="J62" s="295">
        <v>8277155</v>
      </c>
    </row>
    <row r="63" spans="1:10" ht="15.75" customHeight="1" x14ac:dyDescent="0.25">
      <c r="A63" s="320">
        <v>2305</v>
      </c>
      <c r="B63" s="312" t="s">
        <v>440</v>
      </c>
      <c r="D63" s="318">
        <f>+LINIX!C204</f>
        <v>0</v>
      </c>
      <c r="E63" s="315">
        <f t="shared" si="2"/>
        <v>0</v>
      </c>
      <c r="H63" s="295">
        <v>2435</v>
      </c>
      <c r="I63" s="295" t="s">
        <v>173</v>
      </c>
      <c r="J63" s="295">
        <v>99888856</v>
      </c>
    </row>
    <row r="64" spans="1:10" ht="14.25" x14ac:dyDescent="0.25">
      <c r="A64" s="320">
        <v>2308</v>
      </c>
      <c r="B64" s="312" t="s">
        <v>441</v>
      </c>
      <c r="D64" s="318">
        <f>+LINIX!C199-LINIX!C203</f>
        <v>2504070091</v>
      </c>
      <c r="E64" s="315">
        <f t="shared" si="2"/>
        <v>6.4626496192275007E-2</v>
      </c>
      <c r="H64" s="295">
        <v>2448</v>
      </c>
      <c r="I64" s="295" t="s">
        <v>1354</v>
      </c>
      <c r="J64" s="295">
        <v>891192</v>
      </c>
    </row>
    <row r="65" spans="1:10" ht="14.25" x14ac:dyDescent="0.25">
      <c r="A65" s="322" t="s">
        <v>38</v>
      </c>
      <c r="B65" s="323"/>
      <c r="D65" s="313">
        <f>SUM(D66:D74)</f>
        <v>611319989</v>
      </c>
      <c r="E65" s="314">
        <f t="shared" si="2"/>
        <v>1.5777301555322198E-2</v>
      </c>
      <c r="H65" s="295">
        <v>2445</v>
      </c>
      <c r="I65" s="295" t="s">
        <v>179</v>
      </c>
      <c r="J65" s="295">
        <v>26043780</v>
      </c>
    </row>
    <row r="66" spans="1:10" ht="14.25" x14ac:dyDescent="0.25">
      <c r="A66" s="320">
        <v>2405</v>
      </c>
      <c r="B66" s="312" t="s">
        <v>443</v>
      </c>
      <c r="D66" s="1165">
        <f>+LINIX!C213</f>
        <v>886862</v>
      </c>
      <c r="E66" s="315">
        <f t="shared" si="2"/>
        <v>2.2888649911227023E-5</v>
      </c>
      <c r="H66" s="295">
        <v>2465</v>
      </c>
      <c r="I66" s="295" t="s">
        <v>181</v>
      </c>
      <c r="J66" s="295">
        <v>328992555</v>
      </c>
    </row>
    <row r="67" spans="1:10" ht="14.25" x14ac:dyDescent="0.25">
      <c r="A67" s="320">
        <v>2415</v>
      </c>
      <c r="B67" s="312" t="s">
        <v>178</v>
      </c>
      <c r="D67" s="1165">
        <f>+LINIX!C216</f>
        <v>4588669</v>
      </c>
      <c r="E67" s="315">
        <f t="shared" si="2"/>
        <v>1.1842703633654413E-4</v>
      </c>
      <c r="H67" s="295">
        <v>2495</v>
      </c>
      <c r="I67" s="295" t="s">
        <v>271</v>
      </c>
      <c r="J67" s="295">
        <v>85529244.870000005</v>
      </c>
    </row>
    <row r="68" spans="1:10" ht="14.25" x14ac:dyDescent="0.25">
      <c r="A68" s="320">
        <v>2435</v>
      </c>
      <c r="B68" s="312" t="s">
        <v>173</v>
      </c>
      <c r="D68" s="1165">
        <f>+LINIX!C219</f>
        <v>51998212</v>
      </c>
      <c r="E68" s="315">
        <f t="shared" si="2"/>
        <v>1.3420000749584085E-3</v>
      </c>
      <c r="H68" s="295">
        <v>2740</v>
      </c>
      <c r="I68" s="295" t="s">
        <v>854</v>
      </c>
      <c r="J68" s="295">
        <v>65010988.960000001</v>
      </c>
    </row>
    <row r="69" spans="1:10" ht="14.25" x14ac:dyDescent="0.25">
      <c r="A69" s="320">
        <f>+LINIX!A251</f>
        <v>2448</v>
      </c>
      <c r="B69" s="530" t="str">
        <f>+LINIX!B251</f>
        <v>IMPUESTO DE INDUSTRIA Y COMERCIO RETENIDO</v>
      </c>
      <c r="D69" s="1165">
        <f>+LINIX!C251</f>
        <v>165664</v>
      </c>
      <c r="E69" s="315">
        <f t="shared" si="2"/>
        <v>4.2755527905057535E-6</v>
      </c>
      <c r="H69" s="295">
        <v>2795</v>
      </c>
      <c r="I69" s="295" t="s">
        <v>992</v>
      </c>
      <c r="J69" s="295">
        <v>38252793.030000001</v>
      </c>
    </row>
    <row r="70" spans="1:10" ht="14.25" x14ac:dyDescent="0.25">
      <c r="A70" s="320">
        <v>2445</v>
      </c>
      <c r="B70" s="312" t="s">
        <v>179</v>
      </c>
      <c r="D70" s="1165">
        <f>+LINIX!C222+LINIX!C229</f>
        <v>43294810</v>
      </c>
      <c r="E70" s="315">
        <f t="shared" si="2"/>
        <v>1.1173776180094432E-3</v>
      </c>
    </row>
    <row r="71" spans="1:10" ht="14.25" x14ac:dyDescent="0.25">
      <c r="A71" s="320">
        <v>2450</v>
      </c>
      <c r="B71" s="312" t="s">
        <v>180</v>
      </c>
      <c r="D71" s="318">
        <f>+LINIX!C255</f>
        <v>31720594</v>
      </c>
      <c r="E71" s="315">
        <f t="shared" si="2"/>
        <v>8.1866352492515008E-4</v>
      </c>
    </row>
    <row r="72" spans="1:10" ht="15.75" customHeight="1" x14ac:dyDescent="0.25">
      <c r="A72" s="320">
        <v>2465</v>
      </c>
      <c r="B72" s="312" t="s">
        <v>181</v>
      </c>
      <c r="D72" s="318">
        <f>+LINIX!C271</f>
        <v>378239437</v>
      </c>
      <c r="E72" s="315">
        <f t="shared" si="2"/>
        <v>9.7618232105024343E-3</v>
      </c>
    </row>
    <row r="73" spans="1:10" ht="14.25" x14ac:dyDescent="0.25">
      <c r="A73" s="320">
        <v>2495</v>
      </c>
      <c r="B73" s="312" t="s">
        <v>271</v>
      </c>
      <c r="D73" s="318">
        <f>+LINIX!C274+LINIX!C268</f>
        <v>100425741</v>
      </c>
      <c r="E73" s="315">
        <f t="shared" si="2"/>
        <v>2.5918458878884856E-3</v>
      </c>
    </row>
    <row r="74" spans="1:10" ht="14.25" x14ac:dyDescent="0.25">
      <c r="A74" s="528">
        <v>2510</v>
      </c>
      <c r="B74" s="529" t="s">
        <v>1447</v>
      </c>
      <c r="D74" s="318">
        <f>+LINIX!C284</f>
        <v>0</v>
      </c>
      <c r="E74" s="315">
        <f t="shared" si="2"/>
        <v>0</v>
      </c>
    </row>
    <row r="75" spans="1:10" ht="14.25" x14ac:dyDescent="0.25">
      <c r="A75" s="322" t="s">
        <v>272</v>
      </c>
      <c r="B75" s="323"/>
      <c r="D75" s="313">
        <f>SUM(D76:D79)</f>
        <v>98364900</v>
      </c>
      <c r="E75" s="314">
        <f t="shared" si="2"/>
        <v>2.5386585056670092E-3</v>
      </c>
    </row>
    <row r="76" spans="1:10" ht="14.25" x14ac:dyDescent="0.25">
      <c r="A76" s="320">
        <v>2610</v>
      </c>
      <c r="B76" s="312" t="s">
        <v>273</v>
      </c>
      <c r="D76" s="318">
        <f>+LINIX!C286</f>
        <v>0</v>
      </c>
      <c r="E76" s="315">
        <f t="shared" si="2"/>
        <v>0</v>
      </c>
    </row>
    <row r="77" spans="1:10" ht="14.25" x14ac:dyDescent="0.25">
      <c r="A77" s="320">
        <v>2625</v>
      </c>
      <c r="B77" s="312" t="s">
        <v>274</v>
      </c>
      <c r="D77" s="318">
        <v>0</v>
      </c>
      <c r="E77" s="315">
        <f t="shared" si="2"/>
        <v>0</v>
      </c>
    </row>
    <row r="78" spans="1:10" ht="15.75" customHeight="1" x14ac:dyDescent="0.25">
      <c r="A78" s="320">
        <v>2648</v>
      </c>
      <c r="B78" s="312" t="s">
        <v>182</v>
      </c>
      <c r="D78" s="318">
        <v>0</v>
      </c>
      <c r="E78" s="315">
        <f t="shared" si="2"/>
        <v>0</v>
      </c>
    </row>
    <row r="79" spans="1:10" ht="14.25" x14ac:dyDescent="0.25">
      <c r="A79" s="320">
        <v>2648</v>
      </c>
      <c r="B79" s="312" t="s">
        <v>439</v>
      </c>
      <c r="D79" s="318">
        <f>+LINIX!C293</f>
        <v>98364900</v>
      </c>
      <c r="E79" s="315">
        <f t="shared" si="2"/>
        <v>2.5386585056670092E-3</v>
      </c>
    </row>
    <row r="80" spans="1:10" ht="14.25" x14ac:dyDescent="0.25">
      <c r="A80" s="322" t="s">
        <v>40</v>
      </c>
      <c r="B80" s="323"/>
      <c r="D80" s="313">
        <f>SUM(D81:D83)</f>
        <v>208079521.27000001</v>
      </c>
      <c r="E80" s="324">
        <f t="shared" si="2"/>
        <v>5.3702372139574671E-3</v>
      </c>
    </row>
    <row r="81" spans="1:7" ht="14.25" x14ac:dyDescent="0.25">
      <c r="A81" s="528">
        <v>2710</v>
      </c>
      <c r="B81" s="312" t="s">
        <v>183</v>
      </c>
      <c r="D81" s="319">
        <f>+LINIX!C295</f>
        <v>75297026.200000003</v>
      </c>
      <c r="E81" s="324">
        <f t="shared" si="2"/>
        <v>1.9433094123418176E-3</v>
      </c>
    </row>
    <row r="82" spans="1:7" s="306" customFormat="1" ht="15.75" customHeight="1" x14ac:dyDescent="0.25">
      <c r="A82" s="528">
        <v>2740</v>
      </c>
      <c r="B82" s="312" t="s">
        <v>854</v>
      </c>
      <c r="C82" s="298"/>
      <c r="D82" s="1004">
        <f>+LINIX!C302+LINIX!C305</f>
        <v>34748714.07</v>
      </c>
      <c r="E82" s="315">
        <f>D82/$D$89</f>
        <v>8.9681500753618795E-4</v>
      </c>
    </row>
    <row r="83" spans="1:7" ht="14.25" x14ac:dyDescent="0.25">
      <c r="A83" s="528">
        <v>2795</v>
      </c>
      <c r="B83" s="312" t="s">
        <v>992</v>
      </c>
      <c r="D83" s="1004">
        <f>+LINIX!C307</f>
        <v>98033781</v>
      </c>
      <c r="E83" s="315">
        <f>D83/$D$89</f>
        <v>2.5301127940794616E-3</v>
      </c>
    </row>
    <row r="84" spans="1:7" ht="14.25" x14ac:dyDescent="0.25">
      <c r="A84" s="322" t="s">
        <v>39</v>
      </c>
      <c r="B84" s="323"/>
      <c r="D84" s="313">
        <f>+D85+D87+D88</f>
        <v>593439787.91999996</v>
      </c>
      <c r="E84" s="314">
        <f>D84/$D$89</f>
        <v>1.5315838934460707E-2</v>
      </c>
    </row>
    <row r="85" spans="1:7" ht="14.25" x14ac:dyDescent="0.25">
      <c r="A85" s="320">
        <v>2805</v>
      </c>
      <c r="B85" s="312" t="s">
        <v>1053</v>
      </c>
      <c r="D85" s="318">
        <f>+LINIX!C311</f>
        <v>593439787.91999996</v>
      </c>
      <c r="E85" s="315">
        <f>D85/$D$89</f>
        <v>1.5315838934460707E-2</v>
      </c>
    </row>
    <row r="86" spans="1:7" ht="15.75" customHeight="1" x14ac:dyDescent="0.25">
      <c r="A86" s="320"/>
      <c r="B86" s="312" t="s">
        <v>1350</v>
      </c>
      <c r="D86" s="318">
        <v>0</v>
      </c>
      <c r="E86" s="315"/>
    </row>
    <row r="87" spans="1:7" ht="15.75" customHeight="1" x14ac:dyDescent="0.25">
      <c r="A87" s="320">
        <v>2825</v>
      </c>
      <c r="B87" s="312" t="s">
        <v>183</v>
      </c>
      <c r="D87" s="318">
        <v>0</v>
      </c>
      <c r="E87" s="315">
        <f>D87/$D$89</f>
        <v>0</v>
      </c>
    </row>
    <row r="88" spans="1:7" ht="14.25" x14ac:dyDescent="0.25">
      <c r="A88" s="320">
        <v>2895</v>
      </c>
      <c r="B88" s="312" t="s">
        <v>184</v>
      </c>
      <c r="D88" s="318">
        <v>0</v>
      </c>
      <c r="E88" s="315">
        <f>D88/$D$89</f>
        <v>0</v>
      </c>
    </row>
    <row r="89" spans="1:7" ht="15.75" x14ac:dyDescent="0.25">
      <c r="A89" s="338" t="s">
        <v>275</v>
      </c>
      <c r="B89" s="339"/>
      <c r="D89" s="336">
        <f>+D84+D80+D75+D65+D62+D57</f>
        <v>38746802604.770004</v>
      </c>
      <c r="E89" s="337">
        <f>+E84+E80+E75+E65+E62+E57</f>
        <v>0.99999999999999989</v>
      </c>
      <c r="F89" s="795">
        <v>37704362901.43</v>
      </c>
      <c r="G89" s="295">
        <f>+F89-D89</f>
        <v>-1042439703.340004</v>
      </c>
    </row>
    <row r="90" spans="1:7" ht="15.75" x14ac:dyDescent="0.25">
      <c r="A90" s="311"/>
      <c r="B90" s="311"/>
      <c r="D90" s="635"/>
      <c r="E90" s="297"/>
    </row>
    <row r="91" spans="1:7" ht="14.25" x14ac:dyDescent="0.25">
      <c r="A91" s="343"/>
      <c r="B91" s="343"/>
      <c r="D91" s="354"/>
      <c r="E91" s="636"/>
    </row>
    <row r="92" spans="1:7" ht="14.25" x14ac:dyDescent="0.25">
      <c r="A92" s="1174" t="s">
        <v>185</v>
      </c>
      <c r="B92" s="1175"/>
      <c r="D92" s="350"/>
      <c r="E92" s="351"/>
    </row>
    <row r="93" spans="1:7" ht="14.25" x14ac:dyDescent="0.25">
      <c r="A93" s="1176"/>
      <c r="B93" s="1177"/>
      <c r="D93" s="334">
        <f>+D56</f>
        <v>2022</v>
      </c>
      <c r="E93" s="335" t="s">
        <v>394</v>
      </c>
    </row>
    <row r="94" spans="1:7" ht="14.25" x14ac:dyDescent="0.25">
      <c r="A94" s="320">
        <v>3105</v>
      </c>
      <c r="B94" s="312" t="s">
        <v>1402</v>
      </c>
      <c r="D94" s="312">
        <f>+LINIX!C320-'BALANCE AÑO ANTERIOR'!D95</f>
        <v>1000441418</v>
      </c>
      <c r="E94" s="317">
        <f>D94/$D$105</f>
        <v>0.1388168462704279</v>
      </c>
    </row>
    <row r="95" spans="1:7" ht="14.25" x14ac:dyDescent="0.25">
      <c r="A95" s="320">
        <v>3105</v>
      </c>
      <c r="B95" s="312" t="s">
        <v>1401</v>
      </c>
      <c r="D95" s="312">
        <v>1690000000</v>
      </c>
      <c r="E95" s="317">
        <f t="shared" ref="E95:E103" si="3">D95/$D$105</f>
        <v>0.23449695901836717</v>
      </c>
    </row>
    <row r="96" spans="1:7" ht="14.25" x14ac:dyDescent="0.25">
      <c r="A96" s="320">
        <v>3205</v>
      </c>
      <c r="B96" s="312" t="s">
        <v>42</v>
      </c>
      <c r="D96" s="312">
        <f>+LINIX!C326</f>
        <v>1046140934.11</v>
      </c>
      <c r="E96" s="317">
        <f t="shared" si="3"/>
        <v>0.14515790991327163</v>
      </c>
    </row>
    <row r="97" spans="1:5" ht="14.25" x14ac:dyDescent="0.25">
      <c r="A97" s="320">
        <v>3225</v>
      </c>
      <c r="B97" s="312" t="s">
        <v>43</v>
      </c>
      <c r="D97" s="312">
        <f>+LINIX!C327</f>
        <v>908852733.53999996</v>
      </c>
      <c r="E97" s="317">
        <f t="shared" si="3"/>
        <v>0.12610840367494697</v>
      </c>
    </row>
    <row r="98" spans="1:5" ht="14.25" x14ac:dyDescent="0.25">
      <c r="A98" s="320">
        <v>3330</v>
      </c>
      <c r="B98" s="312" t="s">
        <v>44</v>
      </c>
      <c r="D98" s="312">
        <f>+LINIX!C331</f>
        <v>321951746.92000002</v>
      </c>
      <c r="E98" s="317">
        <f t="shared" si="3"/>
        <v>4.4672606865911811E-2</v>
      </c>
    </row>
    <row r="99" spans="1:5" ht="14.25" x14ac:dyDescent="0.25">
      <c r="A99" s="320">
        <v>3340</v>
      </c>
      <c r="B99" s="312" t="s">
        <v>45</v>
      </c>
      <c r="D99" s="312">
        <f>+LINIX!C335</f>
        <v>72733902</v>
      </c>
      <c r="E99" s="317">
        <f t="shared" si="3"/>
        <v>1.0092235997952625E-2</v>
      </c>
    </row>
    <row r="100" spans="1:5" ht="14.25" x14ac:dyDescent="0.25">
      <c r="A100" s="320">
        <f>+LINIX!A344</f>
        <v>3745</v>
      </c>
      <c r="B100" s="312" t="str">
        <f>+LINIX!B344</f>
        <v>POR REVALUACION DE ACTIVOS POR DERECHO DE USO</v>
      </c>
      <c r="D100" s="312">
        <f>+LINIX!C344</f>
        <v>524722873</v>
      </c>
      <c r="E100" s="317">
        <f t="shared" si="3"/>
        <v>7.2808235530107027E-2</v>
      </c>
    </row>
    <row r="101" spans="1:5" ht="14.25" x14ac:dyDescent="0.25">
      <c r="A101" s="320">
        <f>+LINIX!A340</f>
        <v>3735</v>
      </c>
      <c r="B101" s="312" t="str">
        <f>+LINIX!B342</f>
        <v>POR INVERSIONES EN SUBSIDIARIAS, ASOCIADAS</v>
      </c>
      <c r="D101" s="312">
        <f>+LINIX!C342</f>
        <v>318552865</v>
      </c>
      <c r="E101" s="317">
        <f t="shared" si="3"/>
        <v>4.4200992975791983E-2</v>
      </c>
    </row>
    <row r="102" spans="1:5" ht="15.75" customHeight="1" x14ac:dyDescent="0.25">
      <c r="A102" s="320">
        <f>+LINIX!A343</f>
        <v>37350002</v>
      </c>
      <c r="B102" s="312" t="s">
        <v>1403</v>
      </c>
      <c r="D102" s="312">
        <f>+LINIX!C343</f>
        <v>721826957</v>
      </c>
      <c r="E102" s="317">
        <f t="shared" si="3"/>
        <v>0.10015753038697141</v>
      </c>
    </row>
    <row r="103" spans="1:5" ht="15.75" customHeight="1" x14ac:dyDescent="0.25">
      <c r="A103" s="320">
        <v>3505</v>
      </c>
      <c r="B103" s="312" t="s">
        <v>276</v>
      </c>
      <c r="D103" s="824">
        <v>601693057</v>
      </c>
      <c r="E103" s="317">
        <f t="shared" si="3"/>
        <v>8.3488279366251514E-2</v>
      </c>
    </row>
    <row r="104" spans="1:5" ht="15.75" customHeight="1" x14ac:dyDescent="0.25">
      <c r="A104" s="329"/>
      <c r="B104" s="330" t="s">
        <v>277</v>
      </c>
      <c r="D104" s="330">
        <v>0</v>
      </c>
      <c r="E104" s="331">
        <f>D104/$D$105</f>
        <v>0</v>
      </c>
    </row>
    <row r="105" spans="1:5" ht="15.75" customHeight="1" x14ac:dyDescent="0.25">
      <c r="A105" s="338" t="s">
        <v>47</v>
      </c>
      <c r="B105" s="339"/>
      <c r="D105" s="336">
        <f>SUM(D94:D104)</f>
        <v>7206916486.5699997</v>
      </c>
      <c r="E105" s="341">
        <f>SUM(E94:E104)</f>
        <v>1</v>
      </c>
    </row>
    <row r="106" spans="1:5" s="355" customFormat="1" ht="20.100000000000001" customHeight="1" x14ac:dyDescent="0.25">
      <c r="A106" s="353"/>
      <c r="B106" s="353"/>
      <c r="C106" s="298"/>
      <c r="D106" s="633"/>
      <c r="E106" s="353"/>
    </row>
    <row r="107" spans="1:5" s="355" customFormat="1" ht="20.100000000000001" customHeight="1" x14ac:dyDescent="0.25">
      <c r="A107" s="353"/>
      <c r="B107" s="353"/>
      <c r="C107" s="298"/>
      <c r="D107" s="353"/>
      <c r="E107" s="353"/>
    </row>
    <row r="108" spans="1:5" ht="20.100000000000001" customHeight="1" x14ac:dyDescent="0.25">
      <c r="A108" s="1191" t="s">
        <v>48</v>
      </c>
      <c r="B108" s="1192"/>
      <c r="D108" s="336">
        <f>+D89+D105</f>
        <v>45953719091.340004</v>
      </c>
      <c r="E108" s="337">
        <f>D108/$D$108</f>
        <v>1</v>
      </c>
    </row>
    <row r="109" spans="1:5" ht="26.25" customHeight="1" x14ac:dyDescent="0.25">
      <c r="A109" s="355"/>
      <c r="B109" s="355"/>
      <c r="C109" s="355"/>
      <c r="D109" s="355">
        <f>D108-D52</f>
        <v>2.00042724609375E-2</v>
      </c>
      <c r="E109" s="355"/>
    </row>
    <row r="110" spans="1:5" s="343" customFormat="1" ht="20.100000000000001" customHeight="1" x14ac:dyDescent="0.25">
      <c r="A110" s="355"/>
      <c r="B110" s="355">
        <v>43198423</v>
      </c>
      <c r="C110" s="355"/>
      <c r="D110" s="345">
        <v>3365780044.5699997</v>
      </c>
      <c r="E110" s="355"/>
    </row>
    <row r="111" spans="1:5" s="343" customFormat="1" ht="20.100000000000001" customHeight="1" x14ac:dyDescent="0.25">
      <c r="A111" s="1190" t="s">
        <v>278</v>
      </c>
      <c r="B111" s="1190"/>
      <c r="C111" s="346"/>
      <c r="D111" s="1181" t="s">
        <v>1026</v>
      </c>
      <c r="E111" s="1181"/>
    </row>
    <row r="112" spans="1:5" s="343" customFormat="1" ht="20.100000000000001" customHeight="1" x14ac:dyDescent="0.25">
      <c r="A112" s="1190" t="s">
        <v>49</v>
      </c>
      <c r="B112" s="1190"/>
      <c r="C112" s="346"/>
      <c r="D112" s="1189" t="s">
        <v>1027</v>
      </c>
      <c r="E112" s="1189"/>
    </row>
    <row r="113" spans="1:5" s="343" customFormat="1" ht="20.100000000000001" customHeight="1" x14ac:dyDescent="0.25">
      <c r="A113" s="1188"/>
      <c r="B113" s="1188"/>
      <c r="C113" s="1188"/>
      <c r="D113" s="1188"/>
      <c r="E113" s="1188"/>
    </row>
    <row r="114" spans="1:5" s="343" customFormat="1" ht="20.100000000000001" customHeight="1" x14ac:dyDescent="0.25">
      <c r="A114" s="1188"/>
      <c r="B114" s="1188"/>
      <c r="C114" s="1188"/>
      <c r="D114" s="1188"/>
      <c r="E114" s="1188"/>
    </row>
    <row r="115" spans="1:5" s="343" customFormat="1" ht="20.100000000000001" customHeight="1" x14ac:dyDescent="0.25">
      <c r="A115" s="1188"/>
      <c r="B115" s="1188"/>
      <c r="C115" s="1188"/>
      <c r="D115" s="1188"/>
      <c r="E115" s="1188"/>
    </row>
    <row r="116" spans="1:5" s="343" customFormat="1" ht="20.100000000000001" customHeight="1" x14ac:dyDescent="0.25">
      <c r="A116" s="1188"/>
      <c r="B116" s="1188"/>
      <c r="C116" s="1188"/>
      <c r="D116" s="1188"/>
      <c r="E116" s="1188"/>
    </row>
    <row r="117" spans="1:5" s="343" customFormat="1" ht="20.100000000000001" customHeight="1" x14ac:dyDescent="0.25">
      <c r="A117" s="1188"/>
      <c r="B117" s="1188"/>
      <c r="C117" s="1188"/>
      <c r="D117" s="1188"/>
      <c r="E117" s="1188"/>
    </row>
    <row r="118" spans="1:5" s="343" customFormat="1" ht="20.100000000000001" customHeight="1" x14ac:dyDescent="0.25">
      <c r="C118" s="346"/>
      <c r="D118" s="348">
        <f>645000*4</f>
        <v>2580000</v>
      </c>
      <c r="E118" s="358"/>
    </row>
    <row r="119" spans="1:5" s="343" customFormat="1" ht="20.100000000000001" customHeight="1" x14ac:dyDescent="0.25">
      <c r="B119" s="343" t="s">
        <v>993</v>
      </c>
      <c r="C119" s="346"/>
      <c r="D119" s="344">
        <f>D118*2</f>
        <v>5160000</v>
      </c>
      <c r="E119" s="359"/>
    </row>
    <row r="120" spans="1:5" s="343" customFormat="1" ht="20.100000000000001" customHeight="1" x14ac:dyDescent="0.25">
      <c r="C120" s="346"/>
      <c r="E120" s="359"/>
    </row>
    <row r="121" spans="1:5" s="343" customFormat="1" ht="20.100000000000001" customHeight="1" x14ac:dyDescent="0.25">
      <c r="C121" s="346"/>
      <c r="E121" s="359"/>
    </row>
    <row r="122" spans="1:5" s="343" customFormat="1" ht="20.100000000000001" customHeight="1" x14ac:dyDescent="0.25">
      <c r="C122" s="346"/>
      <c r="E122" s="359"/>
    </row>
    <row r="123" spans="1:5" s="343" customFormat="1" ht="20.100000000000001" customHeight="1" x14ac:dyDescent="0.25">
      <c r="C123" s="346"/>
      <c r="E123" s="359"/>
    </row>
    <row r="124" spans="1:5" s="343" customFormat="1" ht="20.100000000000001" customHeight="1" x14ac:dyDescent="0.25">
      <c r="C124" s="346"/>
      <c r="E124" s="359"/>
    </row>
    <row r="125" spans="1:5" s="343" customFormat="1" ht="20.100000000000001" customHeight="1" x14ac:dyDescent="0.25">
      <c r="C125" s="346"/>
      <c r="E125" s="359"/>
    </row>
    <row r="126" spans="1:5" s="343" customFormat="1" ht="20.100000000000001" customHeight="1" x14ac:dyDescent="0.25">
      <c r="C126" s="346"/>
      <c r="E126" s="359"/>
    </row>
    <row r="127" spans="1:5" s="343" customFormat="1" ht="20.100000000000001" customHeight="1" x14ac:dyDescent="0.25">
      <c r="C127" s="346"/>
      <c r="E127" s="359"/>
    </row>
    <row r="128" spans="1:5" s="343" customFormat="1" ht="20.100000000000001" customHeight="1" x14ac:dyDescent="0.25">
      <c r="C128" s="346"/>
      <c r="E128" s="359"/>
    </row>
    <row r="129" spans="3:5" s="343" customFormat="1" ht="20.100000000000001" customHeight="1" x14ac:dyDescent="0.25">
      <c r="C129" s="346"/>
      <c r="E129" s="359"/>
    </row>
    <row r="130" spans="3:5" s="343" customFormat="1" ht="20.100000000000001" customHeight="1" x14ac:dyDescent="0.25">
      <c r="C130" s="346"/>
      <c r="E130" s="359"/>
    </row>
    <row r="131" spans="3:5" s="343" customFormat="1" ht="20.100000000000001" customHeight="1" x14ac:dyDescent="0.25">
      <c r="C131" s="346"/>
      <c r="E131" s="359"/>
    </row>
    <row r="132" spans="3:5" s="343" customFormat="1" ht="20.100000000000001" customHeight="1" x14ac:dyDescent="0.25">
      <c r="C132" s="346"/>
      <c r="E132" s="359"/>
    </row>
    <row r="133" spans="3:5" s="343" customFormat="1" ht="20.100000000000001" customHeight="1" x14ac:dyDescent="0.25">
      <c r="C133" s="346"/>
      <c r="E133" s="359"/>
    </row>
    <row r="134" spans="3:5" s="343" customFormat="1" ht="20.100000000000001" customHeight="1" x14ac:dyDescent="0.25">
      <c r="C134" s="346"/>
      <c r="E134" s="359"/>
    </row>
    <row r="135" spans="3:5" s="343" customFormat="1" ht="20.100000000000001" customHeight="1" x14ac:dyDescent="0.25">
      <c r="C135" s="346"/>
      <c r="E135" s="359"/>
    </row>
    <row r="136" spans="3:5" s="343" customFormat="1" ht="20.100000000000001" customHeight="1" x14ac:dyDescent="0.25">
      <c r="C136" s="346"/>
      <c r="E136" s="359"/>
    </row>
    <row r="137" spans="3:5" s="343" customFormat="1" ht="20.100000000000001" customHeight="1" x14ac:dyDescent="0.25">
      <c r="C137" s="346"/>
      <c r="E137" s="359"/>
    </row>
    <row r="138" spans="3:5" s="343" customFormat="1" ht="20.100000000000001" customHeight="1" x14ac:dyDescent="0.25">
      <c r="C138" s="346"/>
      <c r="E138" s="359"/>
    </row>
    <row r="139" spans="3:5" s="343" customFormat="1" ht="20.100000000000001" customHeight="1" x14ac:dyDescent="0.25">
      <c r="C139" s="346"/>
      <c r="E139" s="359"/>
    </row>
    <row r="140" spans="3:5" s="343" customFormat="1" ht="20.100000000000001" customHeight="1" x14ac:dyDescent="0.25">
      <c r="C140" s="346"/>
      <c r="E140" s="359"/>
    </row>
    <row r="141" spans="3:5" s="343" customFormat="1" ht="20.100000000000001" customHeight="1" x14ac:dyDescent="0.25">
      <c r="C141" s="346"/>
      <c r="E141" s="359"/>
    </row>
    <row r="142" spans="3:5" s="343" customFormat="1" ht="20.100000000000001" customHeight="1" x14ac:dyDescent="0.25">
      <c r="C142" s="346"/>
      <c r="E142" s="359"/>
    </row>
    <row r="143" spans="3:5" s="343" customFormat="1" ht="20.100000000000001" customHeight="1" x14ac:dyDescent="0.25">
      <c r="C143" s="346"/>
      <c r="E143" s="359"/>
    </row>
    <row r="144" spans="3:5" s="343" customFormat="1" ht="20.100000000000001" customHeight="1" x14ac:dyDescent="0.25">
      <c r="C144" s="346"/>
      <c r="E144" s="359"/>
    </row>
    <row r="145" spans="3:5" s="343" customFormat="1" ht="20.100000000000001" customHeight="1" x14ac:dyDescent="0.25">
      <c r="C145" s="346"/>
      <c r="E145" s="359"/>
    </row>
    <row r="146" spans="3:5" s="343" customFormat="1" ht="20.100000000000001" customHeight="1" x14ac:dyDescent="0.25">
      <c r="C146" s="346"/>
      <c r="E146" s="359"/>
    </row>
    <row r="147" spans="3:5" s="343" customFormat="1" ht="20.100000000000001" customHeight="1" x14ac:dyDescent="0.25">
      <c r="C147" s="346"/>
      <c r="E147" s="359"/>
    </row>
    <row r="148" spans="3:5" s="343" customFormat="1" ht="20.100000000000001" customHeight="1" x14ac:dyDescent="0.25">
      <c r="C148" s="346"/>
      <c r="E148" s="359"/>
    </row>
    <row r="149" spans="3:5" s="343" customFormat="1" ht="20.100000000000001" customHeight="1" x14ac:dyDescent="0.25">
      <c r="C149" s="346"/>
      <c r="E149" s="359"/>
    </row>
    <row r="150" spans="3:5" s="343" customFormat="1" ht="20.100000000000001" customHeight="1" x14ac:dyDescent="0.25">
      <c r="C150" s="346"/>
      <c r="E150" s="359"/>
    </row>
    <row r="151" spans="3:5" s="343" customFormat="1" ht="20.100000000000001" customHeight="1" x14ac:dyDescent="0.25">
      <c r="C151" s="346"/>
      <c r="E151" s="359"/>
    </row>
    <row r="152" spans="3:5" s="343" customFormat="1" ht="20.100000000000001" customHeight="1" x14ac:dyDescent="0.25">
      <c r="C152" s="346"/>
      <c r="E152" s="359"/>
    </row>
    <row r="153" spans="3:5" s="343" customFormat="1" ht="20.100000000000001" customHeight="1" x14ac:dyDescent="0.25">
      <c r="C153" s="346"/>
      <c r="E153" s="359"/>
    </row>
    <row r="154" spans="3:5" s="343" customFormat="1" ht="20.100000000000001" customHeight="1" x14ac:dyDescent="0.25">
      <c r="C154" s="346"/>
      <c r="E154" s="359"/>
    </row>
    <row r="155" spans="3:5" s="343" customFormat="1" ht="20.100000000000001" customHeight="1" x14ac:dyDescent="0.25">
      <c r="C155" s="346"/>
      <c r="E155" s="359"/>
    </row>
    <row r="156" spans="3:5" s="343" customFormat="1" ht="20.100000000000001" customHeight="1" x14ac:dyDescent="0.25">
      <c r="C156" s="346"/>
      <c r="E156" s="359"/>
    </row>
    <row r="157" spans="3:5" s="343" customFormat="1" ht="20.100000000000001" customHeight="1" x14ac:dyDescent="0.25">
      <c r="C157" s="346"/>
      <c r="E157" s="359"/>
    </row>
    <row r="158" spans="3:5" s="343" customFormat="1" ht="20.100000000000001" customHeight="1" x14ac:dyDescent="0.25">
      <c r="C158" s="346"/>
      <c r="E158" s="359"/>
    </row>
    <row r="159" spans="3:5" s="343" customFormat="1" ht="20.100000000000001" customHeight="1" x14ac:dyDescent="0.25">
      <c r="C159" s="346"/>
      <c r="E159" s="359"/>
    </row>
    <row r="160" spans="3:5" s="343" customFormat="1" ht="20.100000000000001" customHeight="1" x14ac:dyDescent="0.25">
      <c r="C160" s="346"/>
      <c r="E160" s="359"/>
    </row>
    <row r="161" spans="3:5" s="343" customFormat="1" ht="20.100000000000001" customHeight="1" x14ac:dyDescent="0.25">
      <c r="C161" s="346"/>
      <c r="E161" s="359"/>
    </row>
    <row r="162" spans="3:5" s="343" customFormat="1" ht="20.100000000000001" customHeight="1" x14ac:dyDescent="0.25">
      <c r="C162" s="346"/>
      <c r="E162" s="359"/>
    </row>
    <row r="163" spans="3:5" s="343" customFormat="1" ht="20.100000000000001" customHeight="1" x14ac:dyDescent="0.25">
      <c r="C163" s="346"/>
      <c r="E163" s="359"/>
    </row>
    <row r="164" spans="3:5" s="343" customFormat="1" ht="20.100000000000001" customHeight="1" x14ac:dyDescent="0.25">
      <c r="C164" s="346"/>
      <c r="E164" s="359"/>
    </row>
    <row r="165" spans="3:5" s="343" customFormat="1" ht="20.100000000000001" customHeight="1" x14ac:dyDescent="0.25">
      <c r="C165" s="346"/>
      <c r="E165" s="359"/>
    </row>
    <row r="166" spans="3:5" s="343" customFormat="1" ht="20.100000000000001" customHeight="1" x14ac:dyDescent="0.25">
      <c r="C166" s="346"/>
      <c r="E166" s="359"/>
    </row>
    <row r="167" spans="3:5" s="343" customFormat="1" ht="20.100000000000001" customHeight="1" x14ac:dyDescent="0.25">
      <c r="C167" s="346"/>
      <c r="E167" s="359"/>
    </row>
    <row r="168" spans="3:5" s="343" customFormat="1" ht="20.100000000000001" customHeight="1" x14ac:dyDescent="0.25">
      <c r="C168" s="346"/>
      <c r="E168" s="359"/>
    </row>
    <row r="169" spans="3:5" s="343" customFormat="1" ht="20.100000000000001" customHeight="1" x14ac:dyDescent="0.25">
      <c r="C169" s="346"/>
      <c r="E169" s="359"/>
    </row>
    <row r="170" spans="3:5" s="343" customFormat="1" ht="20.100000000000001" customHeight="1" x14ac:dyDescent="0.25">
      <c r="C170" s="346"/>
      <c r="E170" s="359"/>
    </row>
    <row r="171" spans="3:5" s="343" customFormat="1" ht="20.100000000000001" customHeight="1" x14ac:dyDescent="0.25">
      <c r="C171" s="346"/>
      <c r="E171" s="359"/>
    </row>
    <row r="172" spans="3:5" s="343" customFormat="1" ht="20.100000000000001" customHeight="1" x14ac:dyDescent="0.25">
      <c r="C172" s="346"/>
      <c r="E172" s="359"/>
    </row>
    <row r="173" spans="3:5" s="343" customFormat="1" ht="20.100000000000001" customHeight="1" x14ac:dyDescent="0.25">
      <c r="C173" s="346"/>
      <c r="E173" s="359"/>
    </row>
    <row r="174" spans="3:5" s="343" customFormat="1" ht="20.100000000000001" customHeight="1" x14ac:dyDescent="0.25">
      <c r="C174" s="346"/>
      <c r="E174" s="359"/>
    </row>
    <row r="175" spans="3:5" s="343" customFormat="1" ht="20.100000000000001" customHeight="1" x14ac:dyDescent="0.25">
      <c r="C175" s="346"/>
      <c r="E175" s="359"/>
    </row>
    <row r="176" spans="3:5" s="343" customFormat="1" ht="20.100000000000001" customHeight="1" x14ac:dyDescent="0.25">
      <c r="C176" s="346"/>
      <c r="E176" s="359"/>
    </row>
    <row r="177" spans="3:5" s="343" customFormat="1" ht="20.100000000000001" customHeight="1" x14ac:dyDescent="0.25">
      <c r="C177" s="346"/>
      <c r="E177" s="359"/>
    </row>
    <row r="178" spans="3:5" s="343" customFormat="1" ht="20.100000000000001" customHeight="1" x14ac:dyDescent="0.25">
      <c r="C178" s="346"/>
      <c r="E178" s="359"/>
    </row>
    <row r="179" spans="3:5" s="343" customFormat="1" ht="20.100000000000001" customHeight="1" x14ac:dyDescent="0.25">
      <c r="C179" s="346"/>
      <c r="E179" s="359"/>
    </row>
    <row r="180" spans="3:5" s="343" customFormat="1" ht="20.100000000000001" customHeight="1" x14ac:dyDescent="0.25">
      <c r="C180" s="346"/>
      <c r="E180" s="359"/>
    </row>
    <row r="181" spans="3:5" s="343" customFormat="1" ht="20.100000000000001" customHeight="1" x14ac:dyDescent="0.25">
      <c r="C181" s="346"/>
      <c r="E181" s="359"/>
    </row>
    <row r="182" spans="3:5" s="343" customFormat="1" ht="20.100000000000001" customHeight="1" x14ac:dyDescent="0.25">
      <c r="C182" s="346"/>
      <c r="E182" s="359"/>
    </row>
    <row r="183" spans="3:5" s="343" customFormat="1" ht="20.100000000000001" customHeight="1" x14ac:dyDescent="0.25">
      <c r="C183" s="346"/>
      <c r="E183" s="359"/>
    </row>
    <row r="184" spans="3:5" s="343" customFormat="1" ht="20.100000000000001" customHeight="1" x14ac:dyDescent="0.25">
      <c r="C184" s="346"/>
      <c r="E184" s="359"/>
    </row>
    <row r="185" spans="3:5" s="343" customFormat="1" ht="20.100000000000001" customHeight="1" x14ac:dyDescent="0.25">
      <c r="C185" s="346"/>
      <c r="E185" s="359"/>
    </row>
    <row r="186" spans="3:5" s="343" customFormat="1" ht="20.100000000000001" customHeight="1" x14ac:dyDescent="0.25">
      <c r="C186" s="346"/>
      <c r="E186" s="359"/>
    </row>
    <row r="187" spans="3:5" s="343" customFormat="1" ht="20.100000000000001" customHeight="1" x14ac:dyDescent="0.25">
      <c r="C187" s="346"/>
      <c r="E187" s="359"/>
    </row>
    <row r="188" spans="3:5" s="343" customFormat="1" ht="20.100000000000001" customHeight="1" x14ac:dyDescent="0.25">
      <c r="C188" s="346"/>
      <c r="E188" s="359"/>
    </row>
    <row r="189" spans="3:5" s="343" customFormat="1" ht="20.100000000000001" customHeight="1" x14ac:dyDescent="0.25">
      <c r="C189" s="346"/>
      <c r="E189" s="359"/>
    </row>
    <row r="190" spans="3:5" s="343" customFormat="1" ht="20.100000000000001" customHeight="1" x14ac:dyDescent="0.25">
      <c r="C190" s="346"/>
      <c r="E190" s="359"/>
    </row>
    <row r="191" spans="3:5" s="343" customFormat="1" ht="20.100000000000001" customHeight="1" x14ac:dyDescent="0.25">
      <c r="C191" s="346"/>
      <c r="E191" s="359"/>
    </row>
    <row r="192" spans="3:5" s="343" customFormat="1" ht="20.100000000000001" customHeight="1" x14ac:dyDescent="0.25">
      <c r="C192" s="346"/>
      <c r="E192" s="359"/>
    </row>
    <row r="193" spans="3:5" s="343" customFormat="1" ht="20.100000000000001" customHeight="1" x14ac:dyDescent="0.25">
      <c r="C193" s="346"/>
      <c r="E193" s="359"/>
    </row>
    <row r="194" spans="3:5" s="343" customFormat="1" ht="20.100000000000001" customHeight="1" x14ac:dyDescent="0.25">
      <c r="C194" s="346"/>
      <c r="E194" s="359"/>
    </row>
    <row r="195" spans="3:5" s="343" customFormat="1" ht="20.100000000000001" customHeight="1" x14ac:dyDescent="0.25">
      <c r="C195" s="346"/>
      <c r="E195" s="359"/>
    </row>
    <row r="196" spans="3:5" s="343" customFormat="1" ht="20.100000000000001" customHeight="1" x14ac:dyDescent="0.25">
      <c r="C196" s="346"/>
      <c r="E196" s="359"/>
    </row>
    <row r="197" spans="3:5" s="343" customFormat="1" ht="20.100000000000001" customHeight="1" x14ac:dyDescent="0.25">
      <c r="C197" s="346"/>
      <c r="E197" s="359"/>
    </row>
    <row r="198" spans="3:5" s="343" customFormat="1" ht="20.100000000000001" customHeight="1" x14ac:dyDescent="0.25">
      <c r="C198" s="346"/>
      <c r="E198" s="359"/>
    </row>
    <row r="199" spans="3:5" s="343" customFormat="1" ht="20.100000000000001" customHeight="1" x14ac:dyDescent="0.25">
      <c r="C199" s="346"/>
      <c r="E199" s="359"/>
    </row>
    <row r="200" spans="3:5" s="343" customFormat="1" ht="20.100000000000001" customHeight="1" x14ac:dyDescent="0.25">
      <c r="C200" s="346"/>
      <c r="E200" s="359"/>
    </row>
    <row r="201" spans="3:5" s="343" customFormat="1" ht="20.100000000000001" customHeight="1" x14ac:dyDescent="0.25">
      <c r="C201" s="346"/>
      <c r="E201" s="359"/>
    </row>
    <row r="202" spans="3:5" s="343" customFormat="1" ht="20.100000000000001" customHeight="1" x14ac:dyDescent="0.25">
      <c r="C202" s="346"/>
      <c r="E202" s="359"/>
    </row>
    <row r="203" spans="3:5" s="343" customFormat="1" ht="20.100000000000001" customHeight="1" x14ac:dyDescent="0.25">
      <c r="C203" s="346"/>
      <c r="E203" s="359"/>
    </row>
    <row r="204" spans="3:5" s="343" customFormat="1" ht="20.100000000000001" customHeight="1" x14ac:dyDescent="0.25">
      <c r="C204" s="346"/>
      <c r="E204" s="359"/>
    </row>
    <row r="205" spans="3:5" s="343" customFormat="1" ht="20.100000000000001" customHeight="1" x14ac:dyDescent="0.25">
      <c r="C205" s="346"/>
      <c r="E205" s="359"/>
    </row>
    <row r="206" spans="3:5" s="343" customFormat="1" ht="20.100000000000001" customHeight="1" x14ac:dyDescent="0.25">
      <c r="C206" s="346"/>
      <c r="E206" s="359"/>
    </row>
    <row r="207" spans="3:5" s="343" customFormat="1" ht="20.100000000000001" customHeight="1" x14ac:dyDescent="0.25">
      <c r="C207" s="346"/>
      <c r="E207" s="359"/>
    </row>
    <row r="208" spans="3:5" s="343" customFormat="1" ht="20.100000000000001" customHeight="1" x14ac:dyDescent="0.25">
      <c r="C208" s="346"/>
      <c r="E208" s="359"/>
    </row>
    <row r="209" spans="1:5" s="343" customFormat="1" ht="20.100000000000001" customHeight="1" x14ac:dyDescent="0.25">
      <c r="C209" s="346"/>
      <c r="E209" s="359"/>
    </row>
    <row r="210" spans="1:5" ht="20.100000000000001" customHeight="1" x14ac:dyDescent="0.25">
      <c r="A210" s="343"/>
      <c r="B210" s="343"/>
      <c r="C210" s="346"/>
      <c r="D210" s="343"/>
      <c r="E210" s="359"/>
    </row>
    <row r="211" spans="1:5" ht="20.100000000000001" customHeight="1" x14ac:dyDescent="0.25">
      <c r="A211" s="343"/>
      <c r="B211" s="343"/>
      <c r="C211" s="346"/>
      <c r="D211" s="343"/>
      <c r="E211" s="359"/>
    </row>
    <row r="212" spans="1:5" ht="20.100000000000001" customHeight="1" x14ac:dyDescent="0.25">
      <c r="A212" s="343"/>
      <c r="B212" s="343"/>
      <c r="C212" s="346"/>
      <c r="D212" s="343"/>
      <c r="E212" s="359"/>
    </row>
  </sheetData>
  <mergeCells count="17">
    <mergeCell ref="D111:E111"/>
    <mergeCell ref="A19:B19"/>
    <mergeCell ref="A18:B18"/>
    <mergeCell ref="A21:B21"/>
    <mergeCell ref="A113:E117"/>
    <mergeCell ref="D112:E112"/>
    <mergeCell ref="A112:B112"/>
    <mergeCell ref="A108:B108"/>
    <mergeCell ref="A111:B111"/>
    <mergeCell ref="A1:E1"/>
    <mergeCell ref="A2:E2"/>
    <mergeCell ref="A3:E3"/>
    <mergeCell ref="A92:B93"/>
    <mergeCell ref="A6:B7"/>
    <mergeCell ref="A55:B56"/>
    <mergeCell ref="D6:E6"/>
    <mergeCell ref="A27:B27"/>
  </mergeCells>
  <pageMargins left="0.51181102362204722" right="0.51181102362204722" top="0.74803149606299213" bottom="1.7322834645669292" header="0.51181102362204722" footer="0.51181102362204722"/>
  <pageSetup scale="75" firstPageNumber="0" orientation="landscape" horizontalDpi="300" verticalDpi="300" r:id="rId1"/>
  <headerFooter alignWithMargins="0"/>
  <ignoredErrors>
    <ignoredError sqref="E14" formula="1"/>
    <ignoredError sqref="D57" formulaRange="1"/>
  </ignoredError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tabColor rgb="FF92D050"/>
  </sheetPr>
  <dimension ref="A1:L86"/>
  <sheetViews>
    <sheetView tabSelected="1" zoomScale="80" zoomScaleNormal="80" zoomScaleSheetLayoutView="90" workbookViewId="0">
      <selection activeCell="D6" sqref="D6"/>
    </sheetView>
  </sheetViews>
  <sheetFormatPr baseColWidth="10" defaultRowHeight="15" x14ac:dyDescent="0.2"/>
  <cols>
    <col min="1" max="1" width="1.5546875" customWidth="1"/>
    <col min="2" max="2" width="55.109375" bestFit="1" customWidth="1"/>
    <col min="3" max="3" width="8.33203125" customWidth="1"/>
    <col min="4" max="4" width="27.5546875" bestFit="1" customWidth="1"/>
    <col min="5" max="5" width="19.33203125" bestFit="1" customWidth="1"/>
    <col min="6" max="6" width="17.88671875" bestFit="1" customWidth="1"/>
    <col min="7" max="7" width="11.44140625" bestFit="1" customWidth="1"/>
    <col min="8" max="8" width="11.6640625" bestFit="1" customWidth="1"/>
    <col min="9" max="9" width="15.77734375" bestFit="1" customWidth="1"/>
    <col min="10" max="11" width="17" bestFit="1" customWidth="1"/>
    <col min="12" max="12" width="13.88671875" bestFit="1" customWidth="1"/>
  </cols>
  <sheetData>
    <row r="1" spans="1:8" x14ac:dyDescent="0.2">
      <c r="A1" s="991"/>
      <c r="B1" s="1276" t="s">
        <v>1363</v>
      </c>
      <c r="C1" s="1276"/>
      <c r="D1" s="1276"/>
      <c r="E1" s="1276"/>
      <c r="F1" s="1276"/>
      <c r="G1" s="1276"/>
      <c r="H1" s="1277"/>
    </row>
    <row r="2" spans="1:8" x14ac:dyDescent="0.2">
      <c r="A2" s="961"/>
      <c r="B2" s="1278" t="s">
        <v>1521</v>
      </c>
      <c r="C2" s="1278"/>
      <c r="D2" s="1278"/>
      <c r="E2" s="1278"/>
      <c r="F2" s="1278"/>
      <c r="G2" s="1278"/>
      <c r="H2" s="1279"/>
    </row>
    <row r="3" spans="1:8" ht="15.75" thickBot="1" x14ac:dyDescent="0.25">
      <c r="A3" s="961"/>
      <c r="B3" s="1278" t="s">
        <v>1368</v>
      </c>
      <c r="C3" s="1278"/>
      <c r="D3" s="1278"/>
      <c r="E3" s="1278"/>
      <c r="F3" s="1278"/>
      <c r="G3" s="1278"/>
      <c r="H3" s="1279"/>
    </row>
    <row r="4" spans="1:8" ht="15.75" thickBot="1" x14ac:dyDescent="0.25">
      <c r="A4" s="961"/>
      <c r="B4" s="953" t="s">
        <v>370</v>
      </c>
      <c r="C4" s="954"/>
      <c r="D4" s="954"/>
      <c r="E4" s="954"/>
      <c r="F4" s="954"/>
      <c r="G4" s="954"/>
      <c r="H4" s="955"/>
    </row>
    <row r="5" spans="1:8" ht="16.5" thickBot="1" x14ac:dyDescent="0.3">
      <c r="A5" s="961"/>
      <c r="B5" s="956" t="s">
        <v>1061</v>
      </c>
      <c r="C5" s="957" t="s">
        <v>1062</v>
      </c>
      <c r="D5" s="958" t="s">
        <v>1522</v>
      </c>
      <c r="E5" s="958" t="s">
        <v>1433</v>
      </c>
      <c r="F5" s="842" t="s">
        <v>1063</v>
      </c>
      <c r="G5" s="959" t="s">
        <v>1064</v>
      </c>
      <c r="H5" s="960" t="s">
        <v>1065</v>
      </c>
    </row>
    <row r="6" spans="1:8" ht="15.75" x14ac:dyDescent="0.25">
      <c r="A6" s="961"/>
      <c r="B6" s="961" t="s">
        <v>1245</v>
      </c>
      <c r="C6" s="993" t="s">
        <v>1244</v>
      </c>
      <c r="D6" s="1120">
        <f>+'BALANCE AÑO ANTERIOR'!D10</f>
        <v>2860235506.27</v>
      </c>
      <c r="E6" s="1120">
        <v>2827660920.3099999</v>
      </c>
      <c r="F6" s="1121">
        <f>+D6-E6</f>
        <v>32574585.960000038</v>
      </c>
      <c r="G6" s="1059">
        <f>+F6/E6</f>
        <v>1.1519976007741708E-2</v>
      </c>
      <c r="H6" s="989">
        <f>IF(D6&lt;&gt;0,D6/D40,0)</f>
        <v>6.224165449125222E-2</v>
      </c>
    </row>
    <row r="7" spans="1:8" ht="15.75" x14ac:dyDescent="0.25">
      <c r="A7" s="961"/>
      <c r="B7" s="961" t="s">
        <v>1512</v>
      </c>
      <c r="C7" s="962" t="s">
        <v>1248</v>
      </c>
      <c r="D7" s="1122">
        <f>+'BALANCE AÑO ANTERIOR'!D12</f>
        <v>62720042.780000001</v>
      </c>
      <c r="E7" s="1122">
        <v>108840044.78</v>
      </c>
      <c r="F7" s="1121">
        <f t="shared" ref="F7:F15" si="0">+D7-E7</f>
        <v>-46120002</v>
      </c>
      <c r="G7" s="1059">
        <f t="shared" ref="G7" si="1">+F7/E7</f>
        <v>-0.42374111562727712</v>
      </c>
      <c r="H7" s="989">
        <f>IF(D7&lt;&gt;0,D7/D40,0)</f>
        <v>1.3648523780058299E-3</v>
      </c>
    </row>
    <row r="8" spans="1:8" ht="16.5" thickBot="1" x14ac:dyDescent="0.3">
      <c r="A8" s="961"/>
      <c r="B8" s="961" t="s">
        <v>1511</v>
      </c>
      <c r="C8" s="962" t="s">
        <v>1248</v>
      </c>
      <c r="D8" s="1123">
        <f>+'BALANCE AÑO ANTERIOR'!D15</f>
        <v>1977383235</v>
      </c>
      <c r="E8" s="1123">
        <v>1410430481</v>
      </c>
      <c r="F8" s="1124">
        <f t="shared" si="0"/>
        <v>566952754</v>
      </c>
      <c r="G8" s="1059">
        <f t="shared" ref="G8:G16" si="2">+F8/E8</f>
        <v>0.40197142761550969</v>
      </c>
      <c r="H8" s="989">
        <f>IF(D8&lt;&gt;0,D8/D40,0)</f>
        <v>4.3029884720984415E-2</v>
      </c>
    </row>
    <row r="9" spans="1:8" ht="15.75" x14ac:dyDescent="0.25">
      <c r="A9" s="961"/>
      <c r="B9" s="965" t="s">
        <v>1176</v>
      </c>
      <c r="C9" s="962"/>
      <c r="D9" s="1125">
        <f>SUM(D6:D8)</f>
        <v>4900338784.0500002</v>
      </c>
      <c r="E9" s="1126">
        <f>SUM(E6:E8)</f>
        <v>4346931446.0900002</v>
      </c>
      <c r="F9" s="1126">
        <f t="shared" ref="F9" si="3">+D9-E9</f>
        <v>553407337.96000004</v>
      </c>
      <c r="G9" s="1060">
        <f>+F9/E9</f>
        <v>0.1273098839545265</v>
      </c>
      <c r="H9" s="1061">
        <f>IF(D9&lt;&gt;0,D9/D44,0)</f>
        <v>0.8440069182063813</v>
      </c>
    </row>
    <row r="10" spans="1:8" ht="15.75" x14ac:dyDescent="0.25">
      <c r="A10" s="961"/>
      <c r="B10" s="961" t="s">
        <v>1066</v>
      </c>
      <c r="C10" s="962" t="s">
        <v>1249</v>
      </c>
      <c r="D10" s="1124">
        <v>9209958362</v>
      </c>
      <c r="E10" s="1122">
        <v>9243865799</v>
      </c>
      <c r="F10" s="1124">
        <f t="shared" si="0"/>
        <v>-33907437</v>
      </c>
      <c r="G10" s="1059">
        <f t="shared" si="2"/>
        <v>-3.6681013914836476E-3</v>
      </c>
      <c r="H10" s="976">
        <f>IF(D10&lt;&gt;0,D10/D40,0)</f>
        <v>0.2004181281540634</v>
      </c>
    </row>
    <row r="11" spans="1:8" ht="15.75" x14ac:dyDescent="0.25">
      <c r="A11" s="961"/>
      <c r="B11" s="961" t="s">
        <v>1513</v>
      </c>
      <c r="C11" s="962" t="s">
        <v>1250</v>
      </c>
      <c r="D11" s="1124">
        <f>D10*(-1%)</f>
        <v>-92099583.620000005</v>
      </c>
      <c r="E11" s="1122">
        <v>-92438657.989999995</v>
      </c>
      <c r="F11" s="1124">
        <f t="shared" ref="F11" si="4">+D11-E11</f>
        <v>339074.36999998987</v>
      </c>
      <c r="G11" s="1059">
        <f t="shared" ref="G11" si="5">+F11/E11</f>
        <v>-3.6681013914835383E-3</v>
      </c>
      <c r="H11" s="989">
        <f>IF(D11&lt;&gt;0,D11/D40,0)</f>
        <v>-2.004181281540634E-3</v>
      </c>
    </row>
    <row r="12" spans="1:8" ht="15.75" x14ac:dyDescent="0.25">
      <c r="A12" s="961"/>
      <c r="B12" s="961" t="s">
        <v>1516</v>
      </c>
      <c r="C12" s="962" t="s">
        <v>1252</v>
      </c>
      <c r="D12" s="1124">
        <v>129041036</v>
      </c>
      <c r="E12" s="1122">
        <v>104975664</v>
      </c>
      <c r="F12" s="1124">
        <f t="shared" ref="F12:F13" si="6">+D12-E12</f>
        <v>24065372</v>
      </c>
      <c r="G12" s="1059">
        <f t="shared" ref="G12" si="7">+F12/E12</f>
        <v>0.22924715198753112</v>
      </c>
      <c r="H12" s="989">
        <f>IF(D12&lt;&gt;0,D12/D40,0)</f>
        <v>2.8080651262102968E-3</v>
      </c>
    </row>
    <row r="13" spans="1:8" ht="15.75" x14ac:dyDescent="0.25">
      <c r="A13" s="961"/>
      <c r="B13" s="961" t="s">
        <v>1459</v>
      </c>
      <c r="C13" s="962" t="s">
        <v>1252</v>
      </c>
      <c r="D13" s="1124">
        <f>+'BALANCE AÑO ANTERIOR'!D33</f>
        <v>0</v>
      </c>
      <c r="E13" s="1122">
        <v>645780</v>
      </c>
      <c r="F13" s="1124">
        <f t="shared" si="6"/>
        <v>-645780</v>
      </c>
      <c r="G13" s="1100">
        <v>0</v>
      </c>
      <c r="H13" s="989">
        <v>0</v>
      </c>
    </row>
    <row r="14" spans="1:8" ht="15.75" x14ac:dyDescent="0.25">
      <c r="A14" s="961"/>
      <c r="B14" s="961" t="s">
        <v>738</v>
      </c>
      <c r="C14" s="962" t="s">
        <v>1252</v>
      </c>
      <c r="D14" s="1124">
        <f>+'BALANCE AÑO ANTERIOR'!D32</f>
        <v>41237716</v>
      </c>
      <c r="E14" s="1122">
        <v>44048718</v>
      </c>
      <c r="F14" s="1124">
        <f t="shared" si="0"/>
        <v>-2811002</v>
      </c>
      <c r="G14" s="1059">
        <f t="shared" si="2"/>
        <v>-6.3815750551468944E-2</v>
      </c>
      <c r="H14" s="989">
        <f>IF(D14&lt;&gt;0,D14/D40,0)</f>
        <v>8.9737494190735088E-4</v>
      </c>
    </row>
    <row r="15" spans="1:8" ht="15.75" x14ac:dyDescent="0.25">
      <c r="A15" s="961"/>
      <c r="B15" s="961" t="s">
        <v>1067</v>
      </c>
      <c r="C15" s="962" t="s">
        <v>1252</v>
      </c>
      <c r="D15" s="1124">
        <f>+'BALANCE AÑO ANTERIOR'!D35</f>
        <v>869896340</v>
      </c>
      <c r="E15" s="1122">
        <v>772597768</v>
      </c>
      <c r="F15" s="1124">
        <f t="shared" si="0"/>
        <v>97298572</v>
      </c>
      <c r="G15" s="1059">
        <f t="shared" si="2"/>
        <v>0.12593690537299093</v>
      </c>
      <c r="H15" s="989">
        <f>IF(D15&lt;&gt;0,D15/D40,0)</f>
        <v>1.8929835434458038E-2</v>
      </c>
    </row>
    <row r="16" spans="1:8" ht="15.75" x14ac:dyDescent="0.25">
      <c r="A16" s="961"/>
      <c r="B16" s="961" t="s">
        <v>1515</v>
      </c>
      <c r="C16" s="962" t="s">
        <v>1252</v>
      </c>
      <c r="D16" s="1124">
        <f>+LINIX!C96+LINIX!C101+LINIX!C91</f>
        <v>78187125</v>
      </c>
      <c r="E16" s="1122">
        <v>53174786</v>
      </c>
      <c r="F16" s="1124">
        <f>+D16-E16</f>
        <v>25012339</v>
      </c>
      <c r="G16" s="1059">
        <f t="shared" si="2"/>
        <v>0.47037968333337532</v>
      </c>
      <c r="H16" s="989">
        <f>IF(D16&lt;&gt;0,D16/D40,0)</f>
        <v>1.7014319307785569E-3</v>
      </c>
    </row>
    <row r="17" spans="1:12" ht="16.5" thickBot="1" x14ac:dyDescent="0.3">
      <c r="A17" s="961"/>
      <c r="B17" s="961" t="s">
        <v>30</v>
      </c>
      <c r="C17" s="962" t="s">
        <v>1252</v>
      </c>
      <c r="D17" s="1123">
        <f>'BALANCE AÑO ANTERIOR'!D37</f>
        <v>543340905</v>
      </c>
      <c r="E17" s="1123">
        <v>851598263</v>
      </c>
      <c r="F17" s="1127">
        <f>+D17-E17</f>
        <v>-308257358</v>
      </c>
      <c r="G17" s="1062">
        <f>+F17/E17</f>
        <v>-0.36197509012533063</v>
      </c>
      <c r="H17" s="1096">
        <f>IF(D17&lt;&gt;0,D17/D40,0)</f>
        <v>1.182365466264578E-2</v>
      </c>
    </row>
    <row r="18" spans="1:12" ht="16.5" thickBot="1" x14ac:dyDescent="0.3">
      <c r="A18" s="961"/>
      <c r="B18" s="913" t="s">
        <v>1068</v>
      </c>
      <c r="C18" s="962"/>
      <c r="D18" s="1128">
        <f>SUM(D9:D17)</f>
        <v>15679900684.429998</v>
      </c>
      <c r="E18" s="1128">
        <f>SUM(E9:E17)</f>
        <v>15325399566.1</v>
      </c>
      <c r="F18" s="1128">
        <f>+D18-E18</f>
        <v>354501118.32999802</v>
      </c>
      <c r="G18" s="1058">
        <f>+F18/E18</f>
        <v>2.313160689879561E-2</v>
      </c>
      <c r="H18" s="1063">
        <f>IF(D18&lt;&gt;0,D18/D40,0)</f>
        <v>0.34121070055876523</v>
      </c>
    </row>
    <row r="19" spans="1:12" ht="16.5" thickBot="1" x14ac:dyDescent="0.25">
      <c r="A19" s="961"/>
      <c r="B19" s="956" t="s">
        <v>1069</v>
      </c>
      <c r="C19" s="968"/>
      <c r="D19" s="963" t="s">
        <v>31</v>
      </c>
      <c r="E19" s="964"/>
      <c r="F19" s="963"/>
      <c r="G19" s="1059"/>
      <c r="H19" s="969"/>
      <c r="L19" s="794"/>
    </row>
    <row r="20" spans="1:12" ht="15.75" x14ac:dyDescent="0.25">
      <c r="A20" s="961"/>
      <c r="B20" s="961" t="s">
        <v>1246</v>
      </c>
      <c r="C20" s="962" t="s">
        <v>1251</v>
      </c>
      <c r="D20" s="1129">
        <v>0</v>
      </c>
      <c r="E20" s="1130">
        <v>27302257</v>
      </c>
      <c r="F20" s="1124">
        <f>+D20-E20</f>
        <v>-27302257</v>
      </c>
      <c r="G20" s="1059">
        <f>+F20/E20</f>
        <v>-1</v>
      </c>
      <c r="H20" s="989">
        <f>IF(D20&lt;&gt;0,D20/D40,0)</f>
        <v>0</v>
      </c>
      <c r="L20" s="794"/>
    </row>
    <row r="21" spans="1:12" ht="15.75" x14ac:dyDescent="0.25">
      <c r="A21" s="961"/>
      <c r="B21" s="961" t="s">
        <v>1412</v>
      </c>
      <c r="C21" s="962" t="s">
        <v>1251</v>
      </c>
      <c r="D21" s="1129">
        <f>+'BALANCE AÑO ANTERIOR'!D16</f>
        <v>1309903822</v>
      </c>
      <c r="E21" s="1130">
        <v>963860150</v>
      </c>
      <c r="F21" s="1124">
        <f>+D21-E21</f>
        <v>346043672</v>
      </c>
      <c r="G21" s="1059">
        <f>+F21/E21</f>
        <v>0.35901854848963305</v>
      </c>
      <c r="H21" s="989">
        <f>IF(D21&lt;&gt;0,D21/D40,0)</f>
        <v>2.8504848963300172E-2</v>
      </c>
      <c r="L21" s="794"/>
    </row>
    <row r="22" spans="1:12" ht="15.75" x14ac:dyDescent="0.25">
      <c r="A22" s="961"/>
      <c r="B22" s="961" t="s">
        <v>1411</v>
      </c>
      <c r="C22" s="962" t="s">
        <v>1251</v>
      </c>
      <c r="D22" s="1129">
        <f>+LINIX!C27+LINIX!C28+LINIX!C174</f>
        <v>56462252</v>
      </c>
      <c r="E22" s="1130">
        <v>49124252</v>
      </c>
      <c r="F22" s="1124">
        <f>+D22-E22</f>
        <v>7338000</v>
      </c>
      <c r="G22" s="1059">
        <f>+F22/E22</f>
        <v>0.14937632027455605</v>
      </c>
      <c r="H22" s="989">
        <f>IF(D22&lt;&gt;0,D22/D40,0)</f>
        <v>1.2286764404812868E-3</v>
      </c>
      <c r="L22" s="794"/>
    </row>
    <row r="23" spans="1:12" ht="15.75" x14ac:dyDescent="0.25">
      <c r="A23" s="961"/>
      <c r="B23" s="961" t="s">
        <v>1070</v>
      </c>
      <c r="C23" s="962" t="s">
        <v>1249</v>
      </c>
      <c r="D23" s="1124">
        <f>+LINIX!C33+LINIX!C44-'ESTADO SIT FINANCIERA 24-23'!D10</f>
        <v>28613515483.5</v>
      </c>
      <c r="E23" s="1122">
        <v>27417684583.5</v>
      </c>
      <c r="F23" s="1124">
        <f t="shared" ref="F23:F28" si="8">+D23-E23</f>
        <v>1195830900</v>
      </c>
      <c r="G23" s="1059">
        <f t="shared" ref="G23:G28" si="9">+F23/E23</f>
        <v>4.3615313188030934E-2</v>
      </c>
      <c r="H23" s="989">
        <f>IF(D23&lt;&gt;0,D23/D40,0)</f>
        <v>0.62265940710127832</v>
      </c>
    </row>
    <row r="24" spans="1:12" ht="15.75" x14ac:dyDescent="0.25">
      <c r="A24" s="961"/>
      <c r="B24" s="961" t="s">
        <v>1517</v>
      </c>
      <c r="C24" s="962" t="s">
        <v>1252</v>
      </c>
      <c r="D24" s="1124">
        <v>798191637</v>
      </c>
      <c r="E24" s="1122">
        <v>687698645</v>
      </c>
      <c r="F24" s="1124">
        <f t="shared" si="8"/>
        <v>110492992</v>
      </c>
      <c r="G24" s="1059">
        <f t="shared" ref="G24:G26" si="10">+F24/E24</f>
        <v>0.16067065538568859</v>
      </c>
      <c r="H24" s="989">
        <f>IF(D24&lt;&gt;0,D24/D40,0)</f>
        <v>1.7369467646651631E-2</v>
      </c>
    </row>
    <row r="25" spans="1:12" ht="15.75" x14ac:dyDescent="0.25">
      <c r="A25" s="961"/>
      <c r="B25" s="961" t="s">
        <v>1515</v>
      </c>
      <c r="C25" s="962" t="s">
        <v>1252</v>
      </c>
      <c r="D25" s="1124">
        <f>+LINIX!C95-LINIX!C96-LINIX!C101</f>
        <v>60310052</v>
      </c>
      <c r="E25" s="1122">
        <v>51431016</v>
      </c>
      <c r="F25" s="1124">
        <f>+D25-E25</f>
        <v>8879036</v>
      </c>
      <c r="G25" s="1059">
        <f t="shared" si="10"/>
        <v>0.17263971608105116</v>
      </c>
      <c r="H25" s="989">
        <f>IF(D25&lt;&gt;0,D25/D40,0)</f>
        <v>1.3124085099652297E-3</v>
      </c>
    </row>
    <row r="26" spans="1:12" ht="15.75" x14ac:dyDescent="0.25">
      <c r="A26" s="961"/>
      <c r="B26" s="961" t="s">
        <v>1364</v>
      </c>
      <c r="C26" s="962" t="s">
        <v>1252</v>
      </c>
      <c r="D26" s="1124">
        <f>+'BALANCE AÑO ANTERIOR'!D38</f>
        <v>-61049750</v>
      </c>
      <c r="E26" s="1122">
        <v>-51224101</v>
      </c>
      <c r="F26" s="1124">
        <f t="shared" si="8"/>
        <v>-9825649</v>
      </c>
      <c r="G26" s="1059">
        <f t="shared" si="10"/>
        <v>0.19181691446375995</v>
      </c>
      <c r="H26" s="989">
        <f>IF(D26&lt;&gt;0,D26/D40,0)</f>
        <v>-1.328505096152956E-3</v>
      </c>
    </row>
    <row r="27" spans="1:12" ht="15.75" x14ac:dyDescent="0.25">
      <c r="A27" s="961"/>
      <c r="B27" s="961" t="s">
        <v>1372</v>
      </c>
      <c r="C27" s="962" t="s">
        <v>1250</v>
      </c>
      <c r="D27" s="1124">
        <f>+'BALANCE AÑO ANTERIOR'!D29</f>
        <v>-943431803</v>
      </c>
      <c r="E27" s="1122">
        <v>-873419648</v>
      </c>
      <c r="F27" s="1124">
        <f t="shared" si="8"/>
        <v>-70012155</v>
      </c>
      <c r="G27" s="1059">
        <f t="shared" si="9"/>
        <v>8.0158667325972502E-2</v>
      </c>
      <c r="H27" s="989">
        <f>IF(D27&lt;&gt;0,D27/D40,0)</f>
        <v>-2.0530042435198698E-2</v>
      </c>
    </row>
    <row r="28" spans="1:12" ht="16.5" thickBot="1" x14ac:dyDescent="0.3">
      <c r="A28" s="961"/>
      <c r="B28" s="961" t="s">
        <v>1514</v>
      </c>
      <c r="C28" s="962" t="s">
        <v>1250</v>
      </c>
      <c r="D28" s="1131">
        <f>+'BALANCE AÑO ANTERIOR'!D30+(-D11)</f>
        <v>-295407482.38</v>
      </c>
      <c r="E28" s="1123">
        <v>-282094887.00999999</v>
      </c>
      <c r="F28" s="1131">
        <f t="shared" si="8"/>
        <v>-13312595.370000005</v>
      </c>
      <c r="G28" s="1062">
        <f t="shared" si="9"/>
        <v>4.7191905926065529E-2</v>
      </c>
      <c r="H28" s="1096">
        <f>IF(D28&lt;&gt;0,D28/D40,0)</f>
        <v>-6.4283694164766368E-3</v>
      </c>
    </row>
    <row r="29" spans="1:12" ht="16.5" thickBot="1" x14ac:dyDescent="0.3">
      <c r="A29" s="961"/>
      <c r="B29" s="913" t="s">
        <v>1071</v>
      </c>
      <c r="C29" s="962"/>
      <c r="D29" s="1128">
        <f>SUM(D20:D28)</f>
        <v>29538494211.119999</v>
      </c>
      <c r="E29" s="1128">
        <f>SUM(E20:E28)</f>
        <v>27990362267.490002</v>
      </c>
      <c r="F29" s="1128">
        <f>+D29-E29</f>
        <v>1548131943.6299973</v>
      </c>
      <c r="G29" s="1058">
        <f t="shared" ref="G29:G40" si="11">+F29/E29</f>
        <v>5.5309464337591221E-2</v>
      </c>
      <c r="H29" s="1063">
        <f>IF(D29&lt;&gt;0,D29/D40,0)</f>
        <v>0.64278789171384831</v>
      </c>
      <c r="L29" s="793"/>
    </row>
    <row r="30" spans="1:12" ht="16.5" thickBot="1" x14ac:dyDescent="0.3">
      <c r="A30" s="961"/>
      <c r="B30" s="956" t="s">
        <v>1191</v>
      </c>
      <c r="C30" s="962" t="s">
        <v>1253</v>
      </c>
      <c r="D30" s="1124"/>
      <c r="E30" s="1122"/>
      <c r="F30" s="1124"/>
      <c r="G30" s="1059"/>
      <c r="H30" s="969"/>
    </row>
    <row r="31" spans="1:12" x14ac:dyDescent="0.2">
      <c r="A31" s="961"/>
      <c r="B31" s="961" t="s">
        <v>776</v>
      </c>
      <c r="C31" s="968"/>
      <c r="D31" s="1124">
        <f>+'BALANCE AÑO ANTERIOR'!D40</f>
        <v>923802225</v>
      </c>
      <c r="E31" s="1122">
        <v>923802225</v>
      </c>
      <c r="F31" s="1124">
        <v>0</v>
      </c>
      <c r="G31" s="1059">
        <f t="shared" si="11"/>
        <v>0</v>
      </c>
      <c r="H31" s="989">
        <f>IF(D31&lt;&gt;0,D31/D40,0)</f>
        <v>2.0102882710411423E-2</v>
      </c>
    </row>
    <row r="32" spans="1:12" x14ac:dyDescent="0.2">
      <c r="A32" s="961"/>
      <c r="B32" s="961" t="s">
        <v>1072</v>
      </c>
      <c r="C32" s="968"/>
      <c r="D32" s="1124">
        <f>+'BALANCE AÑO ANTERIOR'!D41</f>
        <v>85856472</v>
      </c>
      <c r="E32" s="1122">
        <v>65864472</v>
      </c>
      <c r="F32" s="1124">
        <f t="shared" ref="F32:F34" si="12">+D32-E32</f>
        <v>19992000</v>
      </c>
      <c r="G32" s="1059">
        <f t="shared" si="11"/>
        <v>0.30353238085625284</v>
      </c>
      <c r="H32" s="989">
        <f>IF(D32&lt;&gt;0,D32/D40,0)</f>
        <v>1.8683247775742502E-3</v>
      </c>
    </row>
    <row r="33" spans="1:10" x14ac:dyDescent="0.2">
      <c r="A33" s="961"/>
      <c r="B33" s="961" t="s">
        <v>1073</v>
      </c>
      <c r="C33" s="968"/>
      <c r="D33" s="1124">
        <f>+'BALANCE AÑO ANTERIOR'!D42</f>
        <v>149532455.44999999</v>
      </c>
      <c r="E33" s="1122">
        <v>126940117.45</v>
      </c>
      <c r="F33" s="1124">
        <f t="shared" si="12"/>
        <v>22592337.999999985</v>
      </c>
      <c r="G33" s="1059">
        <f t="shared" si="11"/>
        <v>0.1779763439158531</v>
      </c>
      <c r="H33" s="989">
        <f>IF(D33&lt;&gt;0,D33/D40,0)</f>
        <v>3.2539794037746241E-3</v>
      </c>
    </row>
    <row r="34" spans="1:10" ht="16.5" thickBot="1" x14ac:dyDescent="0.3">
      <c r="A34" s="961"/>
      <c r="B34" s="961" t="s">
        <v>1074</v>
      </c>
      <c r="C34" s="962"/>
      <c r="D34" s="1132">
        <f>+'BALANCE AÑO ANTERIOR'!D44</f>
        <v>-495192341</v>
      </c>
      <c r="E34" s="1122">
        <v>-434086957</v>
      </c>
      <c r="F34" s="1124">
        <f t="shared" si="12"/>
        <v>-61105384</v>
      </c>
      <c r="G34" s="1059">
        <f t="shared" si="11"/>
        <v>0.1407676112231126</v>
      </c>
      <c r="H34" s="989">
        <f>IF(D34&lt;&gt;0,D34/D40,0)</f>
        <v>-1.0775892589149218E-2</v>
      </c>
    </row>
    <row r="35" spans="1:10" ht="16.5" thickBot="1" x14ac:dyDescent="0.3">
      <c r="A35" s="961"/>
      <c r="B35" s="913" t="s">
        <v>1075</v>
      </c>
      <c r="C35" s="980"/>
      <c r="D35" s="1126">
        <f>SUM(D31:D34)</f>
        <v>663998811.45000005</v>
      </c>
      <c r="E35" s="1133">
        <f>SUM(E31:E34)</f>
        <v>682519857.45000005</v>
      </c>
      <c r="F35" s="1126">
        <f>+D35-E35</f>
        <v>-18521046</v>
      </c>
      <c r="G35" s="1089">
        <f t="shared" si="11"/>
        <v>-2.7136274201892817E-2</v>
      </c>
      <c r="H35" s="1097">
        <f>IF(D35&lt;&gt;0,D35/D40,0)</f>
        <v>1.4449294302611082E-2</v>
      </c>
    </row>
    <row r="36" spans="1:10" ht="16.5" thickBot="1" x14ac:dyDescent="0.3">
      <c r="A36" s="961"/>
      <c r="B36" s="956" t="s">
        <v>119</v>
      </c>
      <c r="C36" s="980"/>
      <c r="D36" s="1090"/>
      <c r="E36" s="970"/>
      <c r="F36" s="1091"/>
      <c r="G36" s="1064"/>
      <c r="H36" s="1064"/>
    </row>
    <row r="37" spans="1:10" ht="15.75" x14ac:dyDescent="0.25">
      <c r="A37" s="961"/>
      <c r="B37" s="961" t="s">
        <v>1254</v>
      </c>
      <c r="C37" s="980" t="s">
        <v>1255</v>
      </c>
      <c r="D37" s="1122">
        <f>+LINIX!C170</f>
        <v>57045384.32</v>
      </c>
      <c r="E37" s="1132">
        <v>49156715.32</v>
      </c>
      <c r="F37" s="1122">
        <f>+D37-E37</f>
        <v>7888669</v>
      </c>
      <c r="G37" s="1092">
        <f>+F37/E37</f>
        <v>0.16047998627748833</v>
      </c>
      <c r="H37" s="1093">
        <f>+D37/$D$40</f>
        <v>1.2413659970945653E-3</v>
      </c>
      <c r="J37" s="795"/>
    </row>
    <row r="38" spans="1:10" ht="16.5" thickBot="1" x14ac:dyDescent="0.3">
      <c r="A38" s="992"/>
      <c r="B38" s="961" t="s">
        <v>1457</v>
      </c>
      <c r="C38" s="980" t="s">
        <v>1458</v>
      </c>
      <c r="D38" s="1123">
        <f>+'BALANCE AÑO ANTERIOR'!D46</f>
        <v>14280000</v>
      </c>
      <c r="E38" s="1131">
        <v>14280000</v>
      </c>
      <c r="F38" s="1123">
        <v>0</v>
      </c>
      <c r="G38" s="1094">
        <v>0</v>
      </c>
      <c r="H38" s="1095">
        <v>0</v>
      </c>
      <c r="I38" s="795"/>
    </row>
    <row r="39" spans="1:10" ht="16.5" thickBot="1" x14ac:dyDescent="0.3">
      <c r="B39" s="961" t="s">
        <v>1076</v>
      </c>
      <c r="C39" s="1087"/>
      <c r="D39" s="1135">
        <f>SUM(D37:D38)</f>
        <v>71325384.319999993</v>
      </c>
      <c r="E39" s="1134">
        <f>SUM(E37:E38)</f>
        <v>63436715.32</v>
      </c>
      <c r="F39" s="1134">
        <f>+D39-E39</f>
        <v>7888668.9999999925</v>
      </c>
      <c r="G39" s="1098">
        <f t="shared" si="11"/>
        <v>0.12435494114420034</v>
      </c>
      <c r="H39" s="1099">
        <f>+D39/$D$40</f>
        <v>1.5521134247755009E-3</v>
      </c>
    </row>
    <row r="40" spans="1:10" ht="16.5" thickBot="1" x14ac:dyDescent="0.3">
      <c r="B40" s="971" t="s">
        <v>1077</v>
      </c>
      <c r="C40" s="972"/>
      <c r="D40" s="1136">
        <f>+D18+D29+D35+D39</f>
        <v>45953719091.319992</v>
      </c>
      <c r="E40" s="1136">
        <f>+E18+E29+E35+E39</f>
        <v>44061718406.360001</v>
      </c>
      <c r="F40" s="1137">
        <f>+D40-E40</f>
        <v>1892000684.9599915</v>
      </c>
      <c r="G40" s="984">
        <f t="shared" si="11"/>
        <v>4.2939784315967448E-2</v>
      </c>
      <c r="H40" s="1088">
        <f>IF(D40&lt;&gt;0,D40/D40,0)</f>
        <v>1</v>
      </c>
    </row>
    <row r="41" spans="1:10" ht="16.5" thickBot="1" x14ac:dyDescent="0.3">
      <c r="B41" s="913"/>
      <c r="C41" s="975"/>
      <c r="D41" s="903"/>
      <c r="E41" s="903"/>
      <c r="F41" s="903"/>
      <c r="G41" s="894"/>
      <c r="H41" s="976"/>
    </row>
    <row r="42" spans="1:10" ht="15.75" thickBot="1" x14ac:dyDescent="0.25">
      <c r="B42" s="953" t="s">
        <v>1078</v>
      </c>
      <c r="C42" s="954"/>
      <c r="D42" s="954"/>
      <c r="E42" s="954"/>
      <c r="F42" s="954"/>
      <c r="G42" s="954"/>
      <c r="H42" s="955"/>
    </row>
    <row r="43" spans="1:10" ht="16.5" thickBot="1" x14ac:dyDescent="0.3">
      <c r="B43" s="956" t="s">
        <v>1079</v>
      </c>
      <c r="C43" s="957" t="s">
        <v>1062</v>
      </c>
      <c r="D43" s="1103" t="s">
        <v>1522</v>
      </c>
      <c r="E43" s="1103" t="s">
        <v>1433</v>
      </c>
      <c r="F43" s="977" t="s">
        <v>1063</v>
      </c>
      <c r="G43" s="978" t="s">
        <v>1064</v>
      </c>
      <c r="H43" s="979" t="s">
        <v>1065</v>
      </c>
    </row>
    <row r="44" spans="1:10" ht="15.75" x14ac:dyDescent="0.25">
      <c r="B44" s="961" t="s">
        <v>1453</v>
      </c>
      <c r="C44" s="1101" t="s">
        <v>1256</v>
      </c>
      <c r="D44" s="1138">
        <f>+LINIX!C184+LINIX!C185</f>
        <v>5806041015</v>
      </c>
      <c r="E44" s="1138">
        <v>5370164725</v>
      </c>
      <c r="F44" s="1120">
        <f t="shared" ref="F44:F54" si="13">+D44-E44</f>
        <v>435876290</v>
      </c>
      <c r="G44" s="1060">
        <f>+F44/E44</f>
        <v>8.116627930812681E-2</v>
      </c>
      <c r="H44" s="1104">
        <f t="shared" ref="H44:H53" si="14">D44/$D$62</f>
        <v>0.1498456807965165</v>
      </c>
    </row>
    <row r="45" spans="1:10" ht="15.75" x14ac:dyDescent="0.25">
      <c r="B45" s="961" t="s">
        <v>1518</v>
      </c>
      <c r="C45" s="980" t="s">
        <v>1256</v>
      </c>
      <c r="D45" s="1139">
        <f>+'BALANCE AÑO ANTERIOR'!D58</f>
        <v>353652316</v>
      </c>
      <c r="E45" s="1139">
        <v>214030449</v>
      </c>
      <c r="F45" s="1122">
        <f t="shared" si="13"/>
        <v>139621867</v>
      </c>
      <c r="G45" s="1059">
        <f t="shared" ref="G45:G52" si="15">+F45/E45</f>
        <v>0.65234581178680795</v>
      </c>
      <c r="H45" s="1100">
        <f t="shared" si="14"/>
        <v>9.1272645025027924E-3</v>
      </c>
    </row>
    <row r="46" spans="1:10" ht="15.75" x14ac:dyDescent="0.25">
      <c r="B46" s="961" t="s">
        <v>1080</v>
      </c>
      <c r="C46" s="980" t="s">
        <v>1256</v>
      </c>
      <c r="D46" s="1139">
        <f>+'BALANCE AÑO ANTERIOR'!D60</f>
        <v>855195395</v>
      </c>
      <c r="E46" s="1139">
        <v>751551697</v>
      </c>
      <c r="F46" s="1122">
        <f t="shared" si="13"/>
        <v>103643698</v>
      </c>
      <c r="G46" s="1059">
        <f t="shared" si="15"/>
        <v>0.13790627898748528</v>
      </c>
      <c r="H46" s="1100">
        <f t="shared" si="14"/>
        <v>2.2071379765790516E-2</v>
      </c>
    </row>
    <row r="47" spans="1:10" ht="15.75" x14ac:dyDescent="0.25">
      <c r="B47" s="961" t="s">
        <v>1519</v>
      </c>
      <c r="C47" s="980" t="s">
        <v>1256</v>
      </c>
      <c r="D47" s="1122">
        <v>486681750</v>
      </c>
      <c r="E47" s="1139">
        <v>403561050.09000021</v>
      </c>
      <c r="F47" s="1122">
        <f>+D47-E47</f>
        <v>83120699.909999788</v>
      </c>
      <c r="G47" s="1059">
        <f t="shared" si="15"/>
        <v>0.20596809303440611</v>
      </c>
      <c r="H47" s="1172">
        <f t="shared" si="14"/>
        <v>1.2560565447536722E-2</v>
      </c>
    </row>
    <row r="48" spans="1:10" ht="15.75" x14ac:dyDescent="0.25">
      <c r="B48" s="961" t="s">
        <v>1416</v>
      </c>
      <c r="C48" s="980" t="s">
        <v>1259</v>
      </c>
      <c r="D48" s="1139">
        <f>506019996+170400000</f>
        <v>676419996</v>
      </c>
      <c r="E48" s="1139">
        <v>1827266592</v>
      </c>
      <c r="F48" s="1122">
        <f t="shared" si="13"/>
        <v>-1150846596</v>
      </c>
      <c r="G48" s="1059">
        <v>0</v>
      </c>
      <c r="H48" s="1100">
        <f t="shared" si="14"/>
        <v>1.7457440369975919E-2</v>
      </c>
    </row>
    <row r="49" spans="2:10" ht="15.75" x14ac:dyDescent="0.25">
      <c r="B49" s="961" t="s">
        <v>38</v>
      </c>
      <c r="C49" s="980" t="s">
        <v>1257</v>
      </c>
      <c r="D49" s="1140">
        <f>+'BALANCE AÑO ANTERIOR'!D67+'BALANCE AÑO ANTERIOR'!D68+'BALANCE AÑO ANTERIOR'!D70+'BALANCE AÑO ANTERIOR'!D72+'BALANCE AÑO ANTERIOR'!D73+'BALANCE AÑO ANTERIOR'!D82+'BALANCE AÑO ANTERIOR'!D83+'BALANCE AÑO ANTERIOR'!D69+'BALANCE AÑO ANTERIOR'!D66</f>
        <v>712381890.07000005</v>
      </c>
      <c r="E49" s="1140">
        <v>606317743.40999997</v>
      </c>
      <c r="F49" s="1122">
        <f t="shared" si="13"/>
        <v>106064146.66000009</v>
      </c>
      <c r="G49" s="1059">
        <f t="shared" si="15"/>
        <v>0.17493162259029937</v>
      </c>
      <c r="H49" s="1100">
        <f t="shared" si="14"/>
        <v>1.8385565832012698E-2</v>
      </c>
    </row>
    <row r="50" spans="2:10" ht="15.75" x14ac:dyDescent="0.25">
      <c r="B50" s="961" t="s">
        <v>1081</v>
      </c>
      <c r="C50" s="980" t="s">
        <v>1257</v>
      </c>
      <c r="D50" s="1140">
        <f>+'BALANCE AÑO ANTERIOR'!D71</f>
        <v>31720594</v>
      </c>
      <c r="E50" s="1140">
        <v>29372023</v>
      </c>
      <c r="F50" s="1122">
        <f t="shared" si="13"/>
        <v>2348571</v>
      </c>
      <c r="G50" s="1059">
        <f t="shared" si="15"/>
        <v>7.9959456657105299E-2</v>
      </c>
      <c r="H50" s="1100">
        <f t="shared" si="14"/>
        <v>8.1866352492515008E-4</v>
      </c>
    </row>
    <row r="51" spans="2:10" ht="15.75" x14ac:dyDescent="0.25">
      <c r="B51" s="961" t="s">
        <v>1247</v>
      </c>
      <c r="C51" s="980" t="s">
        <v>1258</v>
      </c>
      <c r="D51" s="1140">
        <f>+'BALANCE AÑO ANTERIOR'!D75</f>
        <v>98364900</v>
      </c>
      <c r="E51" s="1140">
        <v>140447649</v>
      </c>
      <c r="F51" s="1122">
        <f t="shared" si="13"/>
        <v>-42082749</v>
      </c>
      <c r="G51" s="1059">
        <f t="shared" si="15"/>
        <v>-0.29963298994061482</v>
      </c>
      <c r="H51" s="1100">
        <f t="shared" si="14"/>
        <v>2.5386585056670092E-3</v>
      </c>
    </row>
    <row r="52" spans="2:10" ht="15.75" x14ac:dyDescent="0.25">
      <c r="B52" s="961" t="s">
        <v>1454</v>
      </c>
      <c r="C52" s="980" t="s">
        <v>1257</v>
      </c>
      <c r="D52" s="1140">
        <f>+'BALANCE AÑO ANTERIOR'!D81</f>
        <v>75297026.200000003</v>
      </c>
      <c r="E52" s="1140">
        <v>68565622.200000003</v>
      </c>
      <c r="F52" s="1122">
        <f t="shared" si="13"/>
        <v>6731404</v>
      </c>
      <c r="G52" s="1059">
        <f t="shared" si="15"/>
        <v>9.8174621392117981E-2</v>
      </c>
      <c r="H52" s="1100">
        <f t="shared" si="14"/>
        <v>1.9433094123418176E-3</v>
      </c>
    </row>
    <row r="53" spans="2:10" ht="15.75" x14ac:dyDescent="0.25">
      <c r="B53" s="961" t="s">
        <v>202</v>
      </c>
      <c r="C53" s="980" t="s">
        <v>1348</v>
      </c>
      <c r="D53" s="1140">
        <v>0</v>
      </c>
      <c r="E53" s="1140">
        <v>0</v>
      </c>
      <c r="F53" s="1122">
        <f t="shared" si="13"/>
        <v>0</v>
      </c>
      <c r="G53" s="1059">
        <v>0</v>
      </c>
      <c r="H53" s="1100">
        <f t="shared" si="14"/>
        <v>0</v>
      </c>
    </row>
    <row r="54" spans="2:10" ht="16.5" thickBot="1" x14ac:dyDescent="0.3">
      <c r="B54" s="961" t="s">
        <v>1447</v>
      </c>
      <c r="C54" s="980" t="s">
        <v>1257</v>
      </c>
      <c r="D54" s="1141">
        <f>+'BALANCE AÑO ANTERIOR'!D74</f>
        <v>0</v>
      </c>
      <c r="E54" s="1141">
        <v>4305200</v>
      </c>
      <c r="F54" s="1123">
        <f t="shared" si="13"/>
        <v>-4305200</v>
      </c>
      <c r="G54" s="1062">
        <v>0</v>
      </c>
      <c r="H54" s="1105">
        <f t="shared" ref="H54" si="16">D54/$D$62</f>
        <v>0</v>
      </c>
    </row>
    <row r="55" spans="2:10" ht="16.5" thickBot="1" x14ac:dyDescent="0.3">
      <c r="B55" s="913" t="s">
        <v>1084</v>
      </c>
      <c r="C55" s="980"/>
      <c r="D55" s="1134">
        <f>SUM(D44:D54)</f>
        <v>9095754882.2700005</v>
      </c>
      <c r="E55" s="1134">
        <f>SUM(E44:E54)</f>
        <v>9415582750.7000008</v>
      </c>
      <c r="F55" s="1134">
        <f>+D55-E55</f>
        <v>-319827868.43000031</v>
      </c>
      <c r="G55" s="1098">
        <f t="shared" ref="G55:G61" si="17">+F55/E55</f>
        <v>-3.3967931342988061E-2</v>
      </c>
      <c r="H55" s="990">
        <f>D55/$D$62</f>
        <v>0.23474852815726913</v>
      </c>
    </row>
    <row r="56" spans="2:10" ht="16.5" thickBot="1" x14ac:dyDescent="0.3">
      <c r="B56" s="982" t="s">
        <v>1085</v>
      </c>
      <c r="C56" s="962"/>
      <c r="D56" s="983"/>
      <c r="E56" s="983"/>
      <c r="F56" s="903"/>
      <c r="G56" s="981"/>
      <c r="H56" s="969"/>
      <c r="J56" s="634"/>
    </row>
    <row r="57" spans="2:10" ht="15.75" x14ac:dyDescent="0.25">
      <c r="B57" s="961" t="s">
        <v>1373</v>
      </c>
      <c r="C57" s="980" t="s">
        <v>1256</v>
      </c>
      <c r="D57" s="1120">
        <f>+LINIX!C187+LINIX!C189</f>
        <v>8353415122</v>
      </c>
      <c r="E57" s="1120">
        <v>5351672924</v>
      </c>
      <c r="F57" s="1120">
        <f>+D57-E57</f>
        <v>3001742198</v>
      </c>
      <c r="G57" s="1060">
        <f t="shared" si="17"/>
        <v>0.56089791746024875</v>
      </c>
      <c r="H57" s="1106">
        <f>D57/$D$62</f>
        <v>0.21558979220059918</v>
      </c>
    </row>
    <row r="58" spans="2:10" ht="15.75" x14ac:dyDescent="0.25">
      <c r="B58" s="961" t="s">
        <v>1520</v>
      </c>
      <c r="C58" s="980" t="s">
        <v>1256</v>
      </c>
      <c r="D58" s="1122">
        <f>+'BALANCE AÑO ANTERIOR'!D85-'ESTADO SIT FINANCIERA 24-23'!D47</f>
        <v>106758037.91999996</v>
      </c>
      <c r="E58" s="1139">
        <v>95394248.489999771</v>
      </c>
      <c r="F58" s="1122">
        <f>+D58-E58</f>
        <v>11363789.430000186</v>
      </c>
      <c r="G58" s="1059">
        <f t="shared" si="17"/>
        <v>0.11912447144223226</v>
      </c>
      <c r="H58" s="1172">
        <f>D58/$D$62</f>
        <v>2.7552734869239841E-3</v>
      </c>
    </row>
    <row r="59" spans="2:10" ht="15.75" x14ac:dyDescent="0.25">
      <c r="B59" s="961" t="s">
        <v>1086</v>
      </c>
      <c r="C59" s="980" t="s">
        <v>1256</v>
      </c>
      <c r="D59" s="1122">
        <f>+'BALANCE AÑO ANTERIOR'!D61</f>
        <v>19363224467.580002</v>
      </c>
      <c r="E59" s="1122">
        <v>17674325936.080002</v>
      </c>
      <c r="F59" s="1122">
        <f>+D59-E59</f>
        <v>1688898531.5</v>
      </c>
      <c r="G59" s="1059">
        <f t="shared" si="17"/>
        <v>9.5556602136227312E-2</v>
      </c>
      <c r="H59" s="1059">
        <f>IF(D59&lt;&gt;0,D59/D62,0)</f>
        <v>0.49973735033290856</v>
      </c>
    </row>
    <row r="60" spans="2:10" ht="16.5" thickBot="1" x14ac:dyDescent="0.3">
      <c r="B60" s="961" t="s">
        <v>1418</v>
      </c>
      <c r="C60" s="1102" t="s">
        <v>1259</v>
      </c>
      <c r="D60" s="1123">
        <f>+'BALANCE AÑO ANTERIOR'!D62-'ESTADO SIT FINANCIERA 24-23'!D48</f>
        <v>1827650095</v>
      </c>
      <c r="E60" s="1123">
        <v>5168686091.1599998</v>
      </c>
      <c r="F60" s="1123">
        <f>+D60-E60</f>
        <v>-3341035996.1599998</v>
      </c>
      <c r="G60" s="1062">
        <f t="shared" si="17"/>
        <v>-0.64639947894575589</v>
      </c>
      <c r="H60" s="1107">
        <f>IF(D60&lt;&gt;0,D60/D62,0)</f>
        <v>4.7169055822299084E-2</v>
      </c>
    </row>
    <row r="61" spans="2:10" ht="16.5" thickBot="1" x14ac:dyDescent="0.3">
      <c r="B61" s="913" t="s">
        <v>1087</v>
      </c>
      <c r="C61" s="980"/>
      <c r="D61" s="1134">
        <f>SUM(D57:D60)</f>
        <v>29651047722.5</v>
      </c>
      <c r="E61" s="1134">
        <f>SUM(E57:E60)</f>
        <v>28290079199.73</v>
      </c>
      <c r="F61" s="1134">
        <f>+D61-E61</f>
        <v>1360968522.7700005</v>
      </c>
      <c r="G61" s="1098">
        <f t="shared" si="17"/>
        <v>4.810762504980861E-2</v>
      </c>
      <c r="H61" s="967">
        <f>IF(D61&lt;&gt;0,D61/D62,0)</f>
        <v>0.76525147184273079</v>
      </c>
    </row>
    <row r="62" spans="2:10" ht="16.5" thickBot="1" x14ac:dyDescent="0.3">
      <c r="B62" s="971" t="s">
        <v>1088</v>
      </c>
      <c r="C62" s="972"/>
      <c r="D62" s="1137">
        <f>+D55+D61</f>
        <v>38746802604.770004</v>
      </c>
      <c r="E62" s="1136">
        <f>+E55+E61</f>
        <v>37705661950.43</v>
      </c>
      <c r="F62" s="1137">
        <f>+F55+F61</f>
        <v>1041140654.3400002</v>
      </c>
      <c r="G62" s="984">
        <f>+F62/E62</f>
        <v>2.7612316041785517E-2</v>
      </c>
      <c r="H62" s="974">
        <f>IF(D62&lt;&gt;0,D62/D62,0)</f>
        <v>1</v>
      </c>
    </row>
    <row r="63" spans="2:10" ht="15" customHeight="1" thickBot="1" x14ac:dyDescent="0.25">
      <c r="B63" s="961"/>
      <c r="C63" s="985"/>
      <c r="G63" s="986"/>
      <c r="H63" s="969"/>
    </row>
    <row r="64" spans="2:10" ht="15" customHeight="1" thickBot="1" x14ac:dyDescent="0.25">
      <c r="B64" s="953" t="s">
        <v>1089</v>
      </c>
      <c r="C64" s="954"/>
      <c r="D64" s="954"/>
      <c r="E64" s="954"/>
      <c r="F64" s="954"/>
      <c r="G64" s="954"/>
      <c r="H64" s="955"/>
    </row>
    <row r="65" spans="1:8" ht="16.5" thickBot="1" x14ac:dyDescent="0.3">
      <c r="B65" s="982" t="s">
        <v>185</v>
      </c>
      <c r="C65" s="987"/>
      <c r="D65" s="958" t="s">
        <v>1522</v>
      </c>
      <c r="E65" s="958" t="s">
        <v>1433</v>
      </c>
      <c r="F65" s="842" t="s">
        <v>1063</v>
      </c>
      <c r="G65" s="959" t="s">
        <v>1064</v>
      </c>
      <c r="H65" s="960" t="s">
        <v>1065</v>
      </c>
    </row>
    <row r="66" spans="1:8" ht="15.75" x14ac:dyDescent="0.25">
      <c r="B66" s="961" t="s">
        <v>1413</v>
      </c>
      <c r="C66" s="1101" t="s">
        <v>1260</v>
      </c>
      <c r="D66" s="1120">
        <f>+'BALANCE AÑO ANTERIOR'!D94</f>
        <v>1000441418</v>
      </c>
      <c r="E66" s="1120">
        <v>1095406321</v>
      </c>
      <c r="F66" s="1142">
        <f t="shared" ref="F66:F75" si="18">+D66-E66</f>
        <v>-94964903</v>
      </c>
      <c r="G66" s="1060">
        <f t="shared" ref="G66:G75" si="19">+F66/E66</f>
        <v>-8.6693769407233501E-2</v>
      </c>
      <c r="H66" s="1108">
        <f t="shared" ref="H66:H75" si="20">IF(D66&lt;&gt;0,D66/$D$76,0)</f>
        <v>0.1388168462704279</v>
      </c>
    </row>
    <row r="67" spans="1:8" ht="15.75" x14ac:dyDescent="0.25">
      <c r="B67" s="961" t="s">
        <v>1401</v>
      </c>
      <c r="C67" s="980" t="s">
        <v>1260</v>
      </c>
      <c r="D67" s="1122">
        <v>1690000000</v>
      </c>
      <c r="E67" s="1122">
        <v>1508000000</v>
      </c>
      <c r="F67" s="1132">
        <f t="shared" ref="F67:F71" si="21">+D67-E67</f>
        <v>182000000</v>
      </c>
      <c r="G67" s="1059">
        <f t="shared" si="19"/>
        <v>0.1206896551724138</v>
      </c>
      <c r="H67" s="1109">
        <f t="shared" si="20"/>
        <v>0.23449695901836717</v>
      </c>
    </row>
    <row r="68" spans="1:8" ht="15.75" x14ac:dyDescent="0.25">
      <c r="B68" s="961" t="s">
        <v>42</v>
      </c>
      <c r="C68" s="980" t="s">
        <v>1261</v>
      </c>
      <c r="D68" s="1122">
        <f>+'BALANCE AÑO ANTERIOR'!D96</f>
        <v>1046140934.11</v>
      </c>
      <c r="E68" s="1122">
        <v>1043812937.11</v>
      </c>
      <c r="F68" s="1132">
        <f t="shared" si="21"/>
        <v>2327997</v>
      </c>
      <c r="G68" s="1059">
        <f t="shared" si="19"/>
        <v>2.2302818036012413E-3</v>
      </c>
      <c r="H68" s="1109">
        <f t="shared" si="20"/>
        <v>0.14515790991327163</v>
      </c>
    </row>
    <row r="69" spans="1:8" ht="15.75" x14ac:dyDescent="0.25">
      <c r="B69" s="961" t="s">
        <v>43</v>
      </c>
      <c r="C69" s="980" t="s">
        <v>1369</v>
      </c>
      <c r="D69" s="1122">
        <f>+'BALANCE AÑO ANTERIOR'!D97</f>
        <v>908852733.53999996</v>
      </c>
      <c r="E69" s="1122">
        <v>862292785.53999996</v>
      </c>
      <c r="F69" s="1132">
        <f t="shared" si="21"/>
        <v>46559948</v>
      </c>
      <c r="G69" s="1059">
        <f t="shared" si="19"/>
        <v>5.3995520756725826E-2</v>
      </c>
      <c r="H69" s="1109">
        <f t="shared" si="20"/>
        <v>0.12610840367494697</v>
      </c>
    </row>
    <row r="70" spans="1:8" ht="15.75" x14ac:dyDescent="0.25">
      <c r="B70" s="961" t="str">
        <f>+'BALANCE AÑO ANTERIOR'!B98</f>
        <v>FONDOS SOCIALES CAPITALIZADOS</v>
      </c>
      <c r="C70" s="980" t="s">
        <v>1262</v>
      </c>
      <c r="D70" s="1122">
        <f>+'BALANCE AÑO ANTERIOR'!D98</f>
        <v>321951746.92000002</v>
      </c>
      <c r="E70" s="1122">
        <v>321951746.92000002</v>
      </c>
      <c r="F70" s="1132">
        <f t="shared" si="21"/>
        <v>0</v>
      </c>
      <c r="G70" s="1059">
        <f t="shared" si="19"/>
        <v>0</v>
      </c>
      <c r="H70" s="1109">
        <f t="shared" si="20"/>
        <v>4.4672606865911811E-2</v>
      </c>
    </row>
    <row r="71" spans="1:8" ht="15.75" x14ac:dyDescent="0.25">
      <c r="B71" s="961" t="s">
        <v>1207</v>
      </c>
      <c r="C71" s="980" t="s">
        <v>1262</v>
      </c>
      <c r="D71" s="1122">
        <f>+'BALANCE AÑO ANTERIOR'!D99</f>
        <v>72733902</v>
      </c>
      <c r="E71" s="1122">
        <v>72733902</v>
      </c>
      <c r="F71" s="1132">
        <f t="shared" si="21"/>
        <v>0</v>
      </c>
      <c r="G71" s="1059">
        <f t="shared" si="19"/>
        <v>0</v>
      </c>
      <c r="H71" s="1109">
        <f t="shared" si="20"/>
        <v>1.0092235997952625E-2</v>
      </c>
    </row>
    <row r="72" spans="1:8" ht="15.75" x14ac:dyDescent="0.25">
      <c r="B72" s="961" t="s">
        <v>1405</v>
      </c>
      <c r="C72" s="980" t="s">
        <v>1263</v>
      </c>
      <c r="D72" s="1122">
        <f>+'BALANCE AÑO ANTERIOR'!D100</f>
        <v>524722873</v>
      </c>
      <c r="E72" s="1122">
        <v>524722873</v>
      </c>
      <c r="F72" s="1132">
        <f t="shared" si="18"/>
        <v>0</v>
      </c>
      <c r="G72" s="1059">
        <f t="shared" si="19"/>
        <v>0</v>
      </c>
      <c r="H72" s="1109">
        <f t="shared" si="20"/>
        <v>7.2808235530107027E-2</v>
      </c>
    </row>
    <row r="73" spans="1:8" ht="15.75" x14ac:dyDescent="0.25">
      <c r="B73" s="961" t="s">
        <v>1394</v>
      </c>
      <c r="C73" s="980" t="s">
        <v>1414</v>
      </c>
      <c r="D73" s="1122">
        <f>+'BALANCE AÑO ANTERIOR'!D101</f>
        <v>318552865</v>
      </c>
      <c r="E73" s="1122">
        <v>318552865</v>
      </c>
      <c r="F73" s="1132">
        <f t="shared" si="18"/>
        <v>0</v>
      </c>
      <c r="G73" s="1059">
        <v>0</v>
      </c>
      <c r="H73" s="1109">
        <f t="shared" si="20"/>
        <v>4.4200992975791983E-2</v>
      </c>
    </row>
    <row r="74" spans="1:8" ht="15.75" x14ac:dyDescent="0.25">
      <c r="B74" s="961" t="s">
        <v>1403</v>
      </c>
      <c r="C74" s="980" t="s">
        <v>1414</v>
      </c>
      <c r="D74" s="1122">
        <f>+'BALANCE AÑO ANTERIOR'!D102</f>
        <v>721826957</v>
      </c>
      <c r="E74" s="1122">
        <v>375783285</v>
      </c>
      <c r="F74" s="1132">
        <f t="shared" si="18"/>
        <v>346043672</v>
      </c>
      <c r="G74" s="1059">
        <v>0</v>
      </c>
      <c r="H74" s="1109">
        <f t="shared" si="20"/>
        <v>0.10015753038697141</v>
      </c>
    </row>
    <row r="75" spans="1:8" ht="15.75" thickBot="1" x14ac:dyDescent="0.25">
      <c r="A75" s="638"/>
      <c r="B75" s="961" t="s">
        <v>1090</v>
      </c>
      <c r="C75" s="1087"/>
      <c r="D75" s="1123">
        <f>+'BALANCE AÑO ANTERIOR'!D103</f>
        <v>601693057</v>
      </c>
      <c r="E75" s="1123">
        <v>232799740</v>
      </c>
      <c r="F75" s="1131">
        <f t="shared" si="18"/>
        <v>368893317</v>
      </c>
      <c r="G75" s="1062">
        <f t="shared" si="19"/>
        <v>1.5845950558192203</v>
      </c>
      <c r="H75" s="966">
        <f t="shared" si="20"/>
        <v>8.3488279366251514E-2</v>
      </c>
    </row>
    <row r="76" spans="1:8" ht="16.5" thickBot="1" x14ac:dyDescent="0.3">
      <c r="A76" s="638"/>
      <c r="B76" s="971" t="s">
        <v>47</v>
      </c>
      <c r="C76" s="972"/>
      <c r="D76" s="1137">
        <f>SUM(D66:D75)</f>
        <v>7206916486.5699997</v>
      </c>
      <c r="E76" s="1136">
        <f>SUM(E66:E75)</f>
        <v>6356056455.5699997</v>
      </c>
      <c r="F76" s="1137">
        <f>+D76-E76</f>
        <v>850860031</v>
      </c>
      <c r="G76" s="984">
        <f>+F76/E76</f>
        <v>0.13386602792905752</v>
      </c>
      <c r="H76" s="988">
        <f>SUM(H66:H75)</f>
        <v>1</v>
      </c>
    </row>
    <row r="77" spans="1:8" ht="16.5" thickBot="1" x14ac:dyDescent="0.3">
      <c r="A77" s="638"/>
      <c r="B77" s="971" t="s">
        <v>48</v>
      </c>
      <c r="C77" s="972"/>
      <c r="D77" s="1143">
        <f>+D62+D76</f>
        <v>45953719091.340004</v>
      </c>
      <c r="E77" s="1144">
        <f>+E62+E76</f>
        <v>44061718406</v>
      </c>
      <c r="F77" s="1143">
        <f>+D77-E77</f>
        <v>1892000685.340004</v>
      </c>
      <c r="G77" s="973">
        <f>+F77/E77</f>
        <v>4.2939784324942831E-2</v>
      </c>
      <c r="H77" s="974">
        <f>IF(D77&lt;&gt;0,D77/D77,0)</f>
        <v>1</v>
      </c>
    </row>
    <row r="78" spans="1:8" x14ac:dyDescent="0.2">
      <c r="A78" s="638"/>
      <c r="B78" s="639"/>
      <c r="C78" s="639"/>
      <c r="D78" s="641"/>
      <c r="E78" s="641"/>
      <c r="F78" s="641"/>
      <c r="G78" s="642"/>
      <c r="H78" s="640"/>
    </row>
    <row r="79" spans="1:8" x14ac:dyDescent="0.2">
      <c r="A79" s="638"/>
      <c r="B79" s="639"/>
      <c r="C79" s="639"/>
      <c r="D79" s="641"/>
      <c r="E79" s="641"/>
      <c r="F79" s="641"/>
      <c r="G79" s="642"/>
      <c r="H79" s="640"/>
    </row>
    <row r="80" spans="1:8" x14ac:dyDescent="0.2">
      <c r="B80" s="643"/>
      <c r="C80" s="643"/>
      <c r="D80" s="644"/>
      <c r="E80" s="644"/>
      <c r="F80" s="644"/>
      <c r="G80" s="642"/>
      <c r="H80" s="640"/>
    </row>
    <row r="81" spans="2:8" x14ac:dyDescent="0.2">
      <c r="B81" s="643"/>
      <c r="C81" s="643"/>
      <c r="D81" s="644"/>
      <c r="E81" s="644"/>
      <c r="F81" s="644"/>
      <c r="G81" s="642"/>
      <c r="H81" s="640"/>
    </row>
    <row r="82" spans="2:8" x14ac:dyDescent="0.2">
      <c r="B82" s="643"/>
      <c r="C82" s="643"/>
      <c r="D82" s="644"/>
      <c r="E82" s="644"/>
      <c r="F82" s="644"/>
      <c r="G82" s="642"/>
      <c r="H82" s="640"/>
    </row>
    <row r="83" spans="2:8" x14ac:dyDescent="0.2">
      <c r="B83" s="643" t="s">
        <v>1091</v>
      </c>
      <c r="C83" s="645"/>
      <c r="D83" s="643" t="s">
        <v>1171</v>
      </c>
      <c r="E83" s="643"/>
      <c r="F83" s="1275" t="s">
        <v>1366</v>
      </c>
      <c r="G83" s="1275"/>
      <c r="H83" s="1275"/>
    </row>
    <row r="84" spans="2:8" x14ac:dyDescent="0.2">
      <c r="B84" s="643" t="s">
        <v>1092</v>
      </c>
      <c r="C84" s="646"/>
      <c r="D84" s="646" t="s">
        <v>1286</v>
      </c>
      <c r="E84" s="646"/>
      <c r="F84" s="1275" t="s">
        <v>1365</v>
      </c>
      <c r="G84" s="1275"/>
      <c r="H84" s="1275"/>
    </row>
    <row r="85" spans="2:8" x14ac:dyDescent="0.2">
      <c r="B85" s="643"/>
      <c r="C85" s="643"/>
      <c r="D85" s="643"/>
      <c r="E85" s="644"/>
      <c r="F85" s="1275" t="s">
        <v>1371</v>
      </c>
      <c r="G85" s="1275"/>
      <c r="H85" s="1275"/>
    </row>
    <row r="86" spans="2:8" x14ac:dyDescent="0.2">
      <c r="F86" s="1274" t="s">
        <v>1347</v>
      </c>
      <c r="G86" s="1274"/>
      <c r="H86" s="1274"/>
    </row>
  </sheetData>
  <sheetProtection algorithmName="SHA-512" hashValue="ETlbCkC0wKIiyceXXq0/46H2NJ2C85Ij1Hv71jyW8T/AwsxMLogmJNRJD76gvRVfqGbztZ4FYlJVFIAYsMz2mg==" saltValue="xtbWU6p6lxiJg/xodzEgjw==" spinCount="100000" sheet="1" objects="1" scenarios="1"/>
  <mergeCells count="7">
    <mergeCell ref="F86:H86"/>
    <mergeCell ref="F85:H85"/>
    <mergeCell ref="B1:H1"/>
    <mergeCell ref="B2:H2"/>
    <mergeCell ref="B3:H3"/>
    <mergeCell ref="F83:H83"/>
    <mergeCell ref="F84:H84"/>
  </mergeCells>
  <pageMargins left="0.7" right="0.7" top="0.75" bottom="0.75" header="0.3" footer="0.3"/>
  <pageSetup scale="67" fitToWidth="3" fitToHeight="3" orientation="landscape" r:id="rId1"/>
  <headerFooter>
    <oddFooter>&amp;C&amp;P de 2</oddFooter>
  </headerFooter>
  <rowBreaks count="1" manualBreakCount="1">
    <brk id="38" max="7" man="1"/>
  </rowBreaks>
  <ignoredErrors>
    <ignoredError sqref="G76" formula="1"/>
  </ignoredError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tabColor rgb="FF92D050"/>
  </sheetPr>
  <dimension ref="A1:I88"/>
  <sheetViews>
    <sheetView zoomScaleNormal="100" zoomScaleSheetLayoutView="100" workbookViewId="0">
      <selection activeCell="D9" sqref="D9"/>
    </sheetView>
  </sheetViews>
  <sheetFormatPr baseColWidth="10" defaultRowHeight="15" x14ac:dyDescent="0.2"/>
  <cols>
    <col min="1" max="1" width="36.77734375" customWidth="1"/>
  </cols>
  <sheetData>
    <row r="1" spans="1:9" x14ac:dyDescent="0.2">
      <c r="A1" s="1278" t="s">
        <v>1363</v>
      </c>
      <c r="B1" s="1278"/>
      <c r="C1" s="1278"/>
      <c r="D1" s="1278"/>
      <c r="E1" s="1278"/>
      <c r="F1" s="1278"/>
      <c r="G1" s="1278"/>
      <c r="H1" s="1278"/>
    </row>
    <row r="2" spans="1:9" x14ac:dyDescent="0.2">
      <c r="A2" s="1278" t="s">
        <v>1266</v>
      </c>
      <c r="B2" s="1278"/>
      <c r="C2" s="1278"/>
      <c r="D2" s="1278"/>
      <c r="E2" s="1278"/>
      <c r="F2" s="1278"/>
      <c r="G2" s="1278"/>
      <c r="H2" s="1278"/>
    </row>
    <row r="3" spans="1:9" x14ac:dyDescent="0.2">
      <c r="A3" s="1278" t="s">
        <v>1535</v>
      </c>
      <c r="B3" s="1278"/>
      <c r="C3" s="1278"/>
      <c r="D3" s="1278"/>
      <c r="E3" s="1278"/>
      <c r="F3" s="1278"/>
      <c r="G3" s="1278"/>
      <c r="H3" s="1278"/>
    </row>
    <row r="4" spans="1:9" ht="15.75" thickBot="1" x14ac:dyDescent="0.25">
      <c r="A4" s="1278" t="s">
        <v>1368</v>
      </c>
      <c r="B4" s="1278"/>
      <c r="C4" s="1278"/>
      <c r="D4" s="1278"/>
      <c r="E4" s="1278"/>
      <c r="F4" s="1278"/>
      <c r="G4" s="1278"/>
      <c r="H4" s="1278"/>
    </row>
    <row r="5" spans="1:9" ht="19.5" thickBot="1" x14ac:dyDescent="0.35">
      <c r="A5" s="1280" t="s">
        <v>114</v>
      </c>
      <c r="B5" s="1281"/>
      <c r="C5" s="1281"/>
      <c r="D5" s="1281"/>
      <c r="E5" s="1281"/>
      <c r="F5" s="1281"/>
      <c r="G5" s="1281"/>
      <c r="H5" s="1282"/>
    </row>
    <row r="6" spans="1:9" ht="15.75" thickBot="1" x14ac:dyDescent="0.25">
      <c r="A6" s="921" t="s">
        <v>50</v>
      </c>
      <c r="B6" s="922" t="s">
        <v>1062</v>
      </c>
      <c r="C6" s="923" t="s">
        <v>1522</v>
      </c>
      <c r="D6" s="922" t="s">
        <v>1065</v>
      </c>
      <c r="E6" s="923" t="s">
        <v>1433</v>
      </c>
      <c r="F6" s="922" t="s">
        <v>1065</v>
      </c>
      <c r="G6" s="924" t="s">
        <v>1095</v>
      </c>
      <c r="H6" s="922" t="s">
        <v>1096</v>
      </c>
    </row>
    <row r="7" spans="1:9" x14ac:dyDescent="0.2">
      <c r="A7" s="96"/>
      <c r="B7" s="925"/>
      <c r="C7" s="31"/>
      <c r="D7" s="926"/>
      <c r="E7" s="31"/>
      <c r="F7" s="927"/>
      <c r="G7" s="928"/>
      <c r="H7" s="907"/>
    </row>
    <row r="8" spans="1:9" x14ac:dyDescent="0.2">
      <c r="A8" s="96" t="s">
        <v>51</v>
      </c>
      <c r="B8" s="929" t="s">
        <v>1241</v>
      </c>
      <c r="C8" s="1145">
        <f>+'EJE PRESUPUESTAL '!B7</f>
        <v>6402964047</v>
      </c>
      <c r="D8" s="926">
        <f>+C8/$C$10</f>
        <v>0.95248577143499025</v>
      </c>
      <c r="E8" s="1145">
        <v>5741081345.71</v>
      </c>
      <c r="F8" s="926">
        <f>+E8/$E$10</f>
        <v>0.96152546107409154</v>
      </c>
      <c r="G8" s="1148">
        <f>C8-E8</f>
        <v>661882701.28999996</v>
      </c>
      <c r="H8" s="907">
        <f>IF(E8&lt;&gt;0,G8/E8,0)</f>
        <v>0.11528885612892233</v>
      </c>
    </row>
    <row r="9" spans="1:9" ht="15.75" thickBot="1" x14ac:dyDescent="0.25">
      <c r="A9" s="96" t="s">
        <v>1101</v>
      </c>
      <c r="B9" s="929" t="s">
        <v>1241</v>
      </c>
      <c r="C9" s="1145">
        <f>+'EJE PRESUPUESTAL '!B8</f>
        <v>319408338</v>
      </c>
      <c r="D9" s="926">
        <f>+C9/$C$10</f>
        <v>4.7514228565009795E-2</v>
      </c>
      <c r="E9" s="1147">
        <v>229723982</v>
      </c>
      <c r="F9" s="926">
        <v>0</v>
      </c>
      <c r="G9" s="1148">
        <f>C9-E9</f>
        <v>89684356</v>
      </c>
      <c r="H9" s="907">
        <f>IF(E9&lt;&gt;0,G9/E9,0)</f>
        <v>0.39040049375428293</v>
      </c>
    </row>
    <row r="10" spans="1:9" ht="15.75" thickBot="1" x14ac:dyDescent="0.25">
      <c r="A10" s="930" t="s">
        <v>52</v>
      </c>
      <c r="B10" s="931"/>
      <c r="C10" s="1146">
        <f>SUM(C7:C9)</f>
        <v>6722372385</v>
      </c>
      <c r="D10" s="932">
        <f>+C10/C10</f>
        <v>1</v>
      </c>
      <c r="E10" s="1146">
        <f>SUM(E8:E9)</f>
        <v>5970805327.71</v>
      </c>
      <c r="F10" s="932">
        <f>+E10/E10</f>
        <v>1</v>
      </c>
      <c r="G10" s="1146">
        <f>SUM(G7:G9)</f>
        <v>751567057.28999996</v>
      </c>
      <c r="H10" s="933">
        <f>IF(E10&lt;&gt;0,G10/E10,0)</f>
        <v>0.12587364953970967</v>
      </c>
    </row>
    <row r="11" spans="1:9" ht="15.75" thickBot="1" x14ac:dyDescent="0.25">
      <c r="A11" s="19"/>
      <c r="B11" s="20"/>
      <c r="C11" s="21"/>
      <c r="D11" s="934"/>
      <c r="E11" s="22"/>
      <c r="F11" s="934"/>
      <c r="G11" s="21"/>
      <c r="H11" s="935"/>
    </row>
    <row r="12" spans="1:9" ht="19.5" thickBot="1" x14ac:dyDescent="0.35">
      <c r="A12" s="1280" t="s">
        <v>1097</v>
      </c>
      <c r="B12" s="1281"/>
      <c r="C12" s="1281"/>
      <c r="D12" s="1281"/>
      <c r="E12" s="1281"/>
      <c r="F12" s="1281"/>
      <c r="G12" s="1281"/>
      <c r="H12" s="1282"/>
    </row>
    <row r="13" spans="1:9" ht="15.75" thickBot="1" x14ac:dyDescent="0.25">
      <c r="A13" s="921" t="s">
        <v>53</v>
      </c>
      <c r="B13" s="922" t="s">
        <v>1062</v>
      </c>
      <c r="C13" s="923" t="s">
        <v>1522</v>
      </c>
      <c r="D13" s="922" t="s">
        <v>1065</v>
      </c>
      <c r="E13" s="923" t="s">
        <v>1433</v>
      </c>
      <c r="F13" s="922" t="s">
        <v>1065</v>
      </c>
      <c r="G13" s="922" t="s">
        <v>1095</v>
      </c>
      <c r="H13" s="924" t="s">
        <v>1096</v>
      </c>
    </row>
    <row r="14" spans="1:9" x14ac:dyDescent="0.2">
      <c r="A14" s="96" t="s">
        <v>1415</v>
      </c>
      <c r="B14" s="929" t="s">
        <v>1242</v>
      </c>
      <c r="C14" s="1145">
        <f>+'EJE PRESUPUESTAL '!B16+'EJE PRESUPUESTAL '!B15</f>
        <v>1793675124.3399999</v>
      </c>
      <c r="D14" s="926">
        <f>+C14/$C$10</f>
        <v>0.2668217441125883</v>
      </c>
      <c r="E14" s="1145">
        <v>1223037668.1900001</v>
      </c>
      <c r="F14" s="926">
        <f>+E14/$E$10</f>
        <v>0.2048362994710255</v>
      </c>
      <c r="G14" s="1148">
        <f>C14-E14</f>
        <v>570637456.14999986</v>
      </c>
      <c r="H14" s="907">
        <f>IF(E14&lt;&gt;0,G14/E14,0)</f>
        <v>0.46657390119022141</v>
      </c>
    </row>
    <row r="15" spans="1:9" x14ac:dyDescent="0.2">
      <c r="A15" s="96" t="s">
        <v>54</v>
      </c>
      <c r="B15" s="929" t="s">
        <v>1242</v>
      </c>
      <c r="C15" s="1145">
        <f>+'EJE PRESUPUESTAL '!B17</f>
        <v>598001884</v>
      </c>
      <c r="D15" s="926">
        <f t="shared" ref="D15:D17" si="0">+C15/$C$10</f>
        <v>8.8956970806073551E-2</v>
      </c>
      <c r="E15" s="1145">
        <v>459831120</v>
      </c>
      <c r="F15" s="926">
        <f>+E15/$E$10</f>
        <v>7.7013249429848746E-2</v>
      </c>
      <c r="G15" s="1148">
        <f>C15-E15</f>
        <v>138170764</v>
      </c>
      <c r="H15" s="907">
        <f>IF(E15&lt;&gt;0,G15/E15,0)</f>
        <v>0.30048154200611737</v>
      </c>
      <c r="I15" s="1067"/>
    </row>
    <row r="16" spans="1:9" x14ac:dyDescent="0.2">
      <c r="A16" s="96" t="s">
        <v>55</v>
      </c>
      <c r="B16" s="929" t="s">
        <v>1242</v>
      </c>
      <c r="C16" s="1145">
        <f>+'EJE PRESUPUESTAL '!B14</f>
        <v>589747667.71000004</v>
      </c>
      <c r="D16" s="926">
        <f t="shared" si="0"/>
        <v>8.7729098290647581E-2</v>
      </c>
      <c r="E16" s="1145">
        <v>1294586444.99</v>
      </c>
      <c r="F16" s="926">
        <f>+E16/$E$10</f>
        <v>0.21681940273315131</v>
      </c>
      <c r="G16" s="1148">
        <f>C16-E16</f>
        <v>-704838777.27999997</v>
      </c>
      <c r="H16" s="907">
        <f>IF(E16&lt;&gt;0,G16/E16,0)</f>
        <v>-0.54445091713087146</v>
      </c>
    </row>
    <row r="17" spans="1:8" ht="15.75" thickBot="1" x14ac:dyDescent="0.25">
      <c r="A17" s="96" t="s">
        <v>1462</v>
      </c>
      <c r="B17" s="929" t="s">
        <v>1242</v>
      </c>
      <c r="C17" s="1145">
        <f>+'EJE PRESUPUESTAL '!B18</f>
        <v>8486317</v>
      </c>
      <c r="D17" s="926">
        <f t="shared" si="0"/>
        <v>1.2623991225085933E-3</v>
      </c>
      <c r="E17" s="1148">
        <v>5127517</v>
      </c>
      <c r="F17" s="926">
        <f>+E17/$E$10</f>
        <v>8.5876472579061146E-4</v>
      </c>
      <c r="G17" s="1148">
        <f>C17-E17</f>
        <v>3358800</v>
      </c>
      <c r="H17" s="907">
        <f>IF(E17&lt;&gt;0,G17/E17,0)</f>
        <v>0.65505389840735784</v>
      </c>
    </row>
    <row r="18" spans="1:8" ht="15.75" thickBot="1" x14ac:dyDescent="0.25">
      <c r="A18" s="930" t="s">
        <v>57</v>
      </c>
      <c r="B18" s="931"/>
      <c r="C18" s="1149">
        <f>SUM(C14:C17)</f>
        <v>2989910993.0500002</v>
      </c>
      <c r="D18" s="932">
        <f>+C18/$C$10</f>
        <v>0.44477021233181807</v>
      </c>
      <c r="E18" s="1146">
        <f>SUM(E14:E17)</f>
        <v>2982582750.1800003</v>
      </c>
      <c r="F18" s="932">
        <f>+E18/$E$10</f>
        <v>0.49952771635981619</v>
      </c>
      <c r="G18" s="1150">
        <f>SUM(G14:G16)</f>
        <v>3969442.8699998856</v>
      </c>
      <c r="H18" s="936">
        <f>IF(E18&lt;&gt;0,G18/E18,0)</f>
        <v>1.3308743469935E-3</v>
      </c>
    </row>
    <row r="19" spans="1:8" ht="15.75" thickBot="1" x14ac:dyDescent="0.25">
      <c r="A19" s="19"/>
      <c r="B19" s="20"/>
      <c r="C19" s="21"/>
      <c r="D19" s="934"/>
      <c r="E19" s="22"/>
      <c r="F19" s="934"/>
      <c r="G19" s="21"/>
      <c r="H19" s="935"/>
    </row>
    <row r="20" spans="1:8" ht="15.75" thickBot="1" x14ac:dyDescent="0.25">
      <c r="A20" s="937" t="s">
        <v>58</v>
      </c>
      <c r="B20" s="937"/>
      <c r="C20" s="1151">
        <f>+C10-C18</f>
        <v>3732461391.9499998</v>
      </c>
      <c r="D20" s="939">
        <f>+C20/$C$10</f>
        <v>0.55522978766818198</v>
      </c>
      <c r="E20" s="1151">
        <f>+E10-E18</f>
        <v>2988222577.5299997</v>
      </c>
      <c r="F20" s="939">
        <f>+E20/$E$10</f>
        <v>0.50047228364018381</v>
      </c>
      <c r="G20" s="1151">
        <f>+G10-G18</f>
        <v>747597614.42000008</v>
      </c>
      <c r="H20" s="940">
        <f>IF(E20&lt;&gt;0,G20/E20,0)</f>
        <v>0.25018136869775881</v>
      </c>
    </row>
    <row r="21" spans="1:8" ht="15.75" thickBot="1" x14ac:dyDescent="0.25">
      <c r="A21" s="19"/>
      <c r="B21" s="20"/>
      <c r="C21" s="21"/>
      <c r="D21" s="934"/>
      <c r="E21" s="22"/>
      <c r="F21" s="934"/>
      <c r="G21" s="21"/>
      <c r="H21" s="935"/>
    </row>
    <row r="22" spans="1:8" ht="19.5" thickBot="1" x14ac:dyDescent="0.35">
      <c r="A22" s="1280" t="s">
        <v>887</v>
      </c>
      <c r="B22" s="1281"/>
      <c r="C22" s="1281"/>
      <c r="D22" s="1281"/>
      <c r="E22" s="1281"/>
      <c r="F22" s="1281"/>
      <c r="G22" s="1281"/>
      <c r="H22" s="1282"/>
    </row>
    <row r="23" spans="1:8" ht="15.75" thickBot="1" x14ac:dyDescent="0.25">
      <c r="A23" s="941" t="s">
        <v>59</v>
      </c>
      <c r="B23" s="922" t="s">
        <v>1243</v>
      </c>
      <c r="C23" s="923" t="s">
        <v>1522</v>
      </c>
      <c r="D23" s="922" t="s">
        <v>1065</v>
      </c>
      <c r="E23" s="923" t="s">
        <v>1433</v>
      </c>
      <c r="F23" s="922" t="s">
        <v>1065</v>
      </c>
      <c r="G23" s="922" t="s">
        <v>1095</v>
      </c>
      <c r="H23" s="922" t="s">
        <v>1096</v>
      </c>
    </row>
    <row r="24" spans="1:8" x14ac:dyDescent="0.2">
      <c r="A24" s="96" t="s">
        <v>60</v>
      </c>
      <c r="B24" s="942"/>
      <c r="C24" s="1145">
        <f>+'EJE PRESUPUESTAL '!B25</f>
        <v>772370902</v>
      </c>
      <c r="D24" s="943">
        <f>+C24/$C$10</f>
        <v>0.11489558414279961</v>
      </c>
      <c r="E24" s="1145">
        <v>727436196</v>
      </c>
      <c r="F24" s="943">
        <f>+E24/$E$10</f>
        <v>0.12183217440100257</v>
      </c>
      <c r="G24" s="1145">
        <f t="shared" ref="G24:G69" si="1">C24-E24</f>
        <v>44934706</v>
      </c>
      <c r="H24" s="944">
        <f>IF(E24&lt;&gt;0,G24/E24,0)</f>
        <v>6.1771336437594589E-2</v>
      </c>
    </row>
    <row r="25" spans="1:8" x14ac:dyDescent="0.2">
      <c r="A25" s="96" t="s">
        <v>61</v>
      </c>
      <c r="B25" s="942"/>
      <c r="C25" s="1145">
        <f>+'EJE PRESUPUESTAL '!B26</f>
        <v>17713835</v>
      </c>
      <c r="D25" s="943">
        <f t="shared" ref="D25:D71" si="2">+C25/$C$10</f>
        <v>2.6350570878111209E-3</v>
      </c>
      <c r="E25" s="1145">
        <v>17093005</v>
      </c>
      <c r="F25" s="943">
        <f t="shared" ref="F25:F71" si="3">+E25/$E$10</f>
        <v>2.8627637415463568E-3</v>
      </c>
      <c r="G25" s="1145">
        <f t="shared" si="1"/>
        <v>620830</v>
      </c>
      <c r="H25" s="944">
        <f t="shared" ref="H25:H73" si="4">IF(E25&lt;&gt;0,G25/E25,0)</f>
        <v>3.6320705458168415E-2</v>
      </c>
    </row>
    <row r="26" spans="1:8" x14ac:dyDescent="0.2">
      <c r="A26" s="96" t="s">
        <v>62</v>
      </c>
      <c r="B26" s="942"/>
      <c r="C26" s="1145">
        <f>+'EJE PRESUPUESTAL '!B27</f>
        <v>69827611</v>
      </c>
      <c r="D26" s="943">
        <f t="shared" si="2"/>
        <v>1.0387346460575465E-2</v>
      </c>
      <c r="E26" s="1145">
        <v>64164739</v>
      </c>
      <c r="F26" s="943">
        <f t="shared" si="3"/>
        <v>1.0746412833494487E-2</v>
      </c>
      <c r="G26" s="1145">
        <f t="shared" si="1"/>
        <v>5662872</v>
      </c>
      <c r="H26" s="944">
        <f t="shared" si="4"/>
        <v>8.8255201973158504E-2</v>
      </c>
    </row>
    <row r="27" spans="1:8" x14ac:dyDescent="0.2">
      <c r="A27" s="96" t="s">
        <v>63</v>
      </c>
      <c r="B27" s="942"/>
      <c r="C27" s="1145">
        <f>+'EJE PRESUPUESTAL '!B28</f>
        <v>8232858</v>
      </c>
      <c r="D27" s="943">
        <f t="shared" si="2"/>
        <v>1.2246953201180033E-3</v>
      </c>
      <c r="E27" s="1145">
        <v>7372617</v>
      </c>
      <c r="F27" s="943">
        <f t="shared" si="3"/>
        <v>1.2347776548306325E-3</v>
      </c>
      <c r="G27" s="1145">
        <f t="shared" si="1"/>
        <v>860241</v>
      </c>
      <c r="H27" s="944">
        <f t="shared" si="4"/>
        <v>0.11668054911844736</v>
      </c>
    </row>
    <row r="28" spans="1:8" x14ac:dyDescent="0.2">
      <c r="A28" s="96" t="s">
        <v>64</v>
      </c>
      <c r="B28" s="942"/>
      <c r="C28" s="1145">
        <f>+'EJE PRESUPUESTAL '!B29</f>
        <v>65593179</v>
      </c>
      <c r="D28" s="943">
        <f t="shared" si="2"/>
        <v>9.7574450273480353E-3</v>
      </c>
      <c r="E28" s="1145">
        <v>55777487</v>
      </c>
      <c r="F28" s="943">
        <f t="shared" si="3"/>
        <v>9.3417024904733411E-3</v>
      </c>
      <c r="G28" s="1145">
        <f t="shared" si="1"/>
        <v>9815692</v>
      </c>
      <c r="H28" s="944">
        <f t="shared" si="4"/>
        <v>0.17597945923953154</v>
      </c>
    </row>
    <row r="29" spans="1:8" x14ac:dyDescent="0.2">
      <c r="A29" s="96" t="s">
        <v>65</v>
      </c>
      <c r="B29" s="942"/>
      <c r="C29" s="1145">
        <f>+'EJE PRESUPUESTAL '!B30</f>
        <v>33000000</v>
      </c>
      <c r="D29" s="943">
        <f t="shared" si="2"/>
        <v>4.9089812509694819E-3</v>
      </c>
      <c r="E29" s="1145">
        <v>5767000</v>
      </c>
      <c r="F29" s="943">
        <f t="shared" si="3"/>
        <v>9.6586635863605251E-4</v>
      </c>
      <c r="G29" s="1145">
        <f t="shared" si="1"/>
        <v>27233000</v>
      </c>
      <c r="H29" s="944">
        <f t="shared" si="4"/>
        <v>4.7222125888676958</v>
      </c>
    </row>
    <row r="30" spans="1:8" x14ac:dyDescent="0.2">
      <c r="A30" s="96" t="s">
        <v>66</v>
      </c>
      <c r="B30" s="942"/>
      <c r="C30" s="1145">
        <f>+'EJE PRESUPUESTAL '!B31</f>
        <v>69550920</v>
      </c>
      <c r="D30" s="943">
        <f t="shared" si="2"/>
        <v>1.0346186735384193E-2</v>
      </c>
      <c r="E30" s="1145">
        <v>75404858</v>
      </c>
      <c r="F30" s="943">
        <f t="shared" si="3"/>
        <v>1.2628925892132584E-2</v>
      </c>
      <c r="G30" s="1145">
        <f t="shared" si="1"/>
        <v>-5853938</v>
      </c>
      <c r="H30" s="944">
        <f t="shared" si="4"/>
        <v>-7.7633433113818748E-2</v>
      </c>
    </row>
    <row r="31" spans="1:8" x14ac:dyDescent="0.2">
      <c r="A31" s="96" t="s">
        <v>67</v>
      </c>
      <c r="B31" s="942"/>
      <c r="C31" s="1145">
        <f>+'EJE PRESUPUESTAL '!B32</f>
        <v>140315500</v>
      </c>
      <c r="D31" s="943">
        <f t="shared" si="2"/>
        <v>2.0872913900618434E-2</v>
      </c>
      <c r="E31" s="1145">
        <v>119891700</v>
      </c>
      <c r="F31" s="943">
        <f t="shared" si="3"/>
        <v>2.0079653148896485E-2</v>
      </c>
      <c r="G31" s="1145">
        <f t="shared" si="1"/>
        <v>20423800</v>
      </c>
      <c r="H31" s="944">
        <f t="shared" si="4"/>
        <v>0.17035207608199734</v>
      </c>
    </row>
    <row r="32" spans="1:8" x14ac:dyDescent="0.2">
      <c r="A32" s="96" t="s">
        <v>68</v>
      </c>
      <c r="B32" s="942"/>
      <c r="C32" s="1145">
        <f>+'EJE PRESUPUESTAL '!B33</f>
        <v>3505799</v>
      </c>
      <c r="D32" s="943">
        <f t="shared" si="2"/>
        <v>5.2151216850507753E-4</v>
      </c>
      <c r="E32" s="1145">
        <v>12434446</v>
      </c>
      <c r="F32" s="943">
        <f t="shared" si="3"/>
        <v>2.0825408496057967E-3</v>
      </c>
      <c r="G32" s="1145">
        <f t="shared" si="1"/>
        <v>-8928647</v>
      </c>
      <c r="H32" s="944">
        <f t="shared" si="4"/>
        <v>-0.71805748322040241</v>
      </c>
    </row>
    <row r="33" spans="1:8" x14ac:dyDescent="0.2">
      <c r="A33" s="96" t="str">
        <f>+'EJE PRESUPUESTAL '!A34</f>
        <v>INDEMNIZACIONES LABORALES</v>
      </c>
      <c r="B33" s="942"/>
      <c r="C33" s="1145">
        <f>+'EJE PRESUPUESTAL '!B34</f>
        <v>0</v>
      </c>
      <c r="D33" s="943">
        <f t="shared" si="2"/>
        <v>0</v>
      </c>
      <c r="E33" s="1145">
        <v>0</v>
      </c>
      <c r="F33" s="943">
        <f t="shared" si="3"/>
        <v>0</v>
      </c>
      <c r="G33" s="1145">
        <f t="shared" si="1"/>
        <v>0</v>
      </c>
      <c r="H33" s="944">
        <f t="shared" si="4"/>
        <v>0</v>
      </c>
    </row>
    <row r="34" spans="1:8" x14ac:dyDescent="0.2">
      <c r="A34" s="96" t="s">
        <v>69</v>
      </c>
      <c r="B34" s="942"/>
      <c r="C34" s="1145">
        <f>+'EJE PRESUPUESTAL '!B35</f>
        <v>10034660</v>
      </c>
      <c r="D34" s="943">
        <f t="shared" si="2"/>
        <v>1.4927259939349522E-3</v>
      </c>
      <c r="E34" s="1145">
        <v>13037755</v>
      </c>
      <c r="F34" s="943">
        <f t="shared" si="3"/>
        <v>2.1835840032320072E-3</v>
      </c>
      <c r="G34" s="1145">
        <f t="shared" si="1"/>
        <v>-3003095</v>
      </c>
      <c r="H34" s="944">
        <f t="shared" si="4"/>
        <v>-0.23033835196320226</v>
      </c>
    </row>
    <row r="35" spans="1:8" x14ac:dyDescent="0.2">
      <c r="A35" s="96" t="s">
        <v>70</v>
      </c>
      <c r="B35" s="942"/>
      <c r="C35" s="1145">
        <f>+'EJE PRESUPUESTAL '!B36+'EJE PRESUPUESTAL '!B37</f>
        <v>172080488</v>
      </c>
      <c r="D35" s="943">
        <f t="shared" si="2"/>
        <v>2.5598178462111484E-2</v>
      </c>
      <c r="E35" s="1145">
        <v>156013759</v>
      </c>
      <c r="F35" s="943">
        <f t="shared" si="3"/>
        <v>2.6129433206598347E-2</v>
      </c>
      <c r="G35" s="1145">
        <f t="shared" si="1"/>
        <v>16066729</v>
      </c>
      <c r="H35" s="944">
        <f t="shared" si="4"/>
        <v>0.10298276961585164</v>
      </c>
    </row>
    <row r="36" spans="1:8" x14ac:dyDescent="0.2">
      <c r="A36" s="96" t="s">
        <v>227</v>
      </c>
      <c r="B36" s="942"/>
      <c r="C36" s="1145">
        <f>+'EJE PRESUPUESTAL '!B38</f>
        <v>16955800</v>
      </c>
      <c r="D36" s="943">
        <f t="shared" si="2"/>
        <v>2.5222940695511617E-3</v>
      </c>
      <c r="E36" s="1145">
        <v>17284400</v>
      </c>
      <c r="F36" s="943">
        <f t="shared" si="3"/>
        <v>2.8948188814303774E-3</v>
      </c>
      <c r="G36" s="1145">
        <f t="shared" si="1"/>
        <v>-328600</v>
      </c>
      <c r="H36" s="944">
        <f t="shared" si="4"/>
        <v>-1.9011362847423111E-2</v>
      </c>
    </row>
    <row r="37" spans="1:8" x14ac:dyDescent="0.2">
      <c r="A37" s="96" t="s">
        <v>122</v>
      </c>
      <c r="B37" s="942"/>
      <c r="C37" s="1145">
        <f>+'EJE PRESUPUESTAL '!B39</f>
        <v>71372000</v>
      </c>
      <c r="D37" s="943">
        <f t="shared" si="2"/>
        <v>1.0617085146793754E-2</v>
      </c>
      <c r="E37" s="1145">
        <v>66064300</v>
      </c>
      <c r="F37" s="943">
        <f t="shared" si="3"/>
        <v>1.1064554339663562E-2</v>
      </c>
      <c r="G37" s="1145">
        <f t="shared" si="1"/>
        <v>5307700</v>
      </c>
      <c r="H37" s="944">
        <f t="shared" si="4"/>
        <v>8.0341424945091375E-2</v>
      </c>
    </row>
    <row r="38" spans="1:8" x14ac:dyDescent="0.2">
      <c r="A38" s="96" t="s">
        <v>72</v>
      </c>
      <c r="B38" s="942"/>
      <c r="C38" s="1145">
        <f>+'EJE PRESUPUESTAL '!B45+'EJE PRESUPUESTAL '!B46</f>
        <v>77735496</v>
      </c>
      <c r="D38" s="943">
        <f t="shared" si="2"/>
        <v>1.1563699769661005E-2</v>
      </c>
      <c r="E38" s="1145">
        <v>63237000</v>
      </c>
      <c r="F38" s="943">
        <f t="shared" si="3"/>
        <v>1.0591033625987178E-2</v>
      </c>
      <c r="G38" s="1145">
        <f t="shared" si="1"/>
        <v>14498496</v>
      </c>
      <c r="H38" s="944">
        <f t="shared" si="4"/>
        <v>0.22927235637364202</v>
      </c>
    </row>
    <row r="39" spans="1:8" x14ac:dyDescent="0.2">
      <c r="A39" s="96" t="s">
        <v>73</v>
      </c>
      <c r="B39" s="942"/>
      <c r="C39" s="1145">
        <f>+'EJE PRESUPUESTAL '!B47</f>
        <v>5254647</v>
      </c>
      <c r="D39" s="943">
        <f t="shared" si="2"/>
        <v>7.8166556374130414E-4</v>
      </c>
      <c r="E39" s="1145">
        <v>6400613</v>
      </c>
      <c r="F39" s="943">
        <f t="shared" si="3"/>
        <v>1.0719848745185678E-3</v>
      </c>
      <c r="G39" s="1145">
        <f t="shared" si="1"/>
        <v>-1145966</v>
      </c>
      <c r="H39" s="944">
        <f t="shared" si="4"/>
        <v>-0.17904003882128164</v>
      </c>
    </row>
    <row r="40" spans="1:8" x14ac:dyDescent="0.2">
      <c r="A40" s="96" t="s">
        <v>74</v>
      </c>
      <c r="B40" s="942"/>
      <c r="C40" s="1145">
        <f>+'EJE PRESUPUESTAL '!B49</f>
        <v>16137190</v>
      </c>
      <c r="D40" s="943">
        <f t="shared" si="2"/>
        <v>2.4005200955555216E-3</v>
      </c>
      <c r="E40" s="1145">
        <v>13259030</v>
      </c>
      <c r="F40" s="943">
        <f>+E40/$E$10</f>
        <v>2.2206434931760326E-3</v>
      </c>
      <c r="G40" s="1145">
        <f>C40-E40</f>
        <v>2878160</v>
      </c>
      <c r="H40" s="944">
        <f>IF(E40&lt;&gt;0,G40/E40,0)</f>
        <v>0.21707168623949114</v>
      </c>
    </row>
    <row r="41" spans="1:8" x14ac:dyDescent="0.2">
      <c r="A41" s="96" t="s">
        <v>436</v>
      </c>
      <c r="B41" s="942"/>
      <c r="C41" s="1145">
        <f>+'EJE PRESUPUESTAL '!B51</f>
        <v>3594000</v>
      </c>
      <c r="D41" s="943">
        <f t="shared" si="2"/>
        <v>5.3463268533285812E-4</v>
      </c>
      <c r="E41" s="1145">
        <v>16593440</v>
      </c>
      <c r="F41" s="943">
        <f t="shared" si="3"/>
        <v>2.7790957985167016E-3</v>
      </c>
      <c r="G41" s="1145">
        <f t="shared" si="1"/>
        <v>-12999440</v>
      </c>
      <c r="H41" s="944">
        <f t="shared" si="4"/>
        <v>-0.78340838307186456</v>
      </c>
    </row>
    <row r="42" spans="1:8" x14ac:dyDescent="0.2">
      <c r="A42" s="96" t="s">
        <v>76</v>
      </c>
      <c r="B42" s="942"/>
      <c r="C42" s="1145">
        <f>+'EJE PRESUPUESTAL '!B48</f>
        <v>10838861</v>
      </c>
      <c r="D42" s="943">
        <f>+C42/$C$10</f>
        <v>1.61235652820801E-3</v>
      </c>
      <c r="E42" s="1145">
        <v>4116236</v>
      </c>
      <c r="F42" s="943">
        <f>+E42/$E$10</f>
        <v>6.8939377086988556E-4</v>
      </c>
      <c r="G42" s="1145">
        <f>C42-E42</f>
        <v>6722625</v>
      </c>
      <c r="H42" s="944">
        <f>IF(E42&lt;&gt;0,G42/E42,0)</f>
        <v>1.6331971733399153</v>
      </c>
    </row>
    <row r="43" spans="1:8" x14ac:dyDescent="0.2">
      <c r="A43" s="96" t="s">
        <v>77</v>
      </c>
      <c r="B43" s="942"/>
      <c r="C43" s="1145">
        <f>+'EJE PRESUPUESTAL '!B50</f>
        <v>8201770</v>
      </c>
      <c r="D43" s="943">
        <f t="shared" si="2"/>
        <v>1.2200707622655748E-3</v>
      </c>
      <c r="E43" s="1145">
        <v>17975426</v>
      </c>
      <c r="F43" s="943">
        <f>+E43/$E$10</f>
        <v>3.0105530181293262E-3</v>
      </c>
      <c r="G43" s="1145">
        <f>C43-E43</f>
        <v>-9773656</v>
      </c>
      <c r="H43" s="944">
        <f>IF(E43&lt;&gt;0,G43/E43,0)</f>
        <v>-0.54372319187317175</v>
      </c>
    </row>
    <row r="44" spans="1:8" x14ac:dyDescent="0.2">
      <c r="A44" s="96" t="s">
        <v>78</v>
      </c>
      <c r="B44" s="942"/>
      <c r="C44" s="1145">
        <f>+'EJE PRESUPUESTAL '!B53+'EJE PRESUPUESTAL '!B52</f>
        <v>33410450</v>
      </c>
      <c r="D44" s="943">
        <f t="shared" si="2"/>
        <v>4.9700385647410096E-3</v>
      </c>
      <c r="E44" s="1145">
        <v>33248454</v>
      </c>
      <c r="F44" s="943">
        <f t="shared" si="3"/>
        <v>5.5685041087668273E-3</v>
      </c>
      <c r="G44" s="1145">
        <f t="shared" si="1"/>
        <v>161996</v>
      </c>
      <c r="H44" s="944">
        <f t="shared" si="4"/>
        <v>4.8722866933903156E-3</v>
      </c>
    </row>
    <row r="45" spans="1:8" x14ac:dyDescent="0.2">
      <c r="A45" s="96" t="s">
        <v>79</v>
      </c>
      <c r="B45" s="942"/>
      <c r="C45" s="1145">
        <f>+'EJE PRESUPUESTAL '!B54</f>
        <v>0</v>
      </c>
      <c r="D45" s="943">
        <f t="shared" si="2"/>
        <v>0</v>
      </c>
      <c r="E45" s="1145">
        <v>5309100</v>
      </c>
      <c r="F45" s="943">
        <f t="shared" si="3"/>
        <v>8.8917653626403089E-4</v>
      </c>
      <c r="G45" s="1145">
        <f t="shared" si="1"/>
        <v>-5309100</v>
      </c>
      <c r="H45" s="944">
        <f t="shared" si="4"/>
        <v>-1</v>
      </c>
    </row>
    <row r="46" spans="1:8" x14ac:dyDescent="0.2">
      <c r="A46" s="96" t="s">
        <v>1098</v>
      </c>
      <c r="B46" s="942"/>
      <c r="C46" s="1145">
        <f>+'EJE PRESUPUESTAL '!B55</f>
        <v>37658482</v>
      </c>
      <c r="D46" s="943">
        <f t="shared" si="2"/>
        <v>5.60196309327187E-3</v>
      </c>
      <c r="E46" s="1145">
        <v>59919878.340000004</v>
      </c>
      <c r="F46" s="943">
        <f t="shared" si="3"/>
        <v>1.0035476799405424E-2</v>
      </c>
      <c r="G46" s="1145">
        <f t="shared" si="1"/>
        <v>-22261396.340000004</v>
      </c>
      <c r="H46" s="944">
        <f t="shared" si="4"/>
        <v>-0.37151938483058011</v>
      </c>
    </row>
    <row r="47" spans="1:8" x14ac:dyDescent="0.2">
      <c r="A47" s="96" t="s">
        <v>81</v>
      </c>
      <c r="B47" s="942"/>
      <c r="C47" s="1145">
        <f>+'EJE PRESUPUESTAL '!B56</f>
        <v>6337103</v>
      </c>
      <c r="D47" s="943">
        <f t="shared" si="2"/>
        <v>9.4268847916552899E-4</v>
      </c>
      <c r="E47" s="1145">
        <v>3545035</v>
      </c>
      <c r="F47" s="943">
        <f t="shared" si="3"/>
        <v>5.9372811629744386E-4</v>
      </c>
      <c r="G47" s="1145">
        <f t="shared" si="1"/>
        <v>2792068</v>
      </c>
      <c r="H47" s="944">
        <f t="shared" si="4"/>
        <v>0.78759955825541916</v>
      </c>
    </row>
    <row r="48" spans="1:8" x14ac:dyDescent="0.2">
      <c r="A48" s="96" t="s">
        <v>82</v>
      </c>
      <c r="B48" s="942"/>
      <c r="C48" s="1145">
        <f>+'EJE PRESUPUESTAL '!B57</f>
        <v>31316684</v>
      </c>
      <c r="D48" s="943">
        <f t="shared" si="2"/>
        <v>4.6585761999556347E-3</v>
      </c>
      <c r="E48" s="1145">
        <v>23626100</v>
      </c>
      <c r="F48" s="943">
        <f t="shared" si="3"/>
        <v>3.9569369127399412E-3</v>
      </c>
      <c r="G48" s="1145">
        <f t="shared" si="1"/>
        <v>7690584</v>
      </c>
      <c r="H48" s="944">
        <f t="shared" si="4"/>
        <v>0.32551220895535021</v>
      </c>
    </row>
    <row r="49" spans="1:8" x14ac:dyDescent="0.2">
      <c r="A49" s="96" t="s">
        <v>83</v>
      </c>
      <c r="B49" s="942"/>
      <c r="C49" s="1145">
        <f>+'EJE PRESUPUESTAL '!B58</f>
        <v>10710860</v>
      </c>
      <c r="D49" s="943">
        <f t="shared" si="2"/>
        <v>1.593315482477545E-3</v>
      </c>
      <c r="E49" s="1145">
        <v>21705338</v>
      </c>
      <c r="F49" s="943">
        <f t="shared" si="3"/>
        <v>3.6352446292742743E-3</v>
      </c>
      <c r="G49" s="1145">
        <f t="shared" si="1"/>
        <v>-10994478</v>
      </c>
      <c r="H49" s="944">
        <f t="shared" si="4"/>
        <v>-0.50653336980976749</v>
      </c>
    </row>
    <row r="50" spans="1:8" x14ac:dyDescent="0.2">
      <c r="A50" s="96" t="s">
        <v>84</v>
      </c>
      <c r="B50" s="942"/>
      <c r="C50" s="1145">
        <f>+'EJE PRESUPUESTAL '!B59</f>
        <v>46311725</v>
      </c>
      <c r="D50" s="943">
        <f t="shared" si="2"/>
        <v>6.889193628031959E-3</v>
      </c>
      <c r="E50" s="1145">
        <v>38945077</v>
      </c>
      <c r="F50" s="943">
        <f t="shared" si="3"/>
        <v>6.5225836151882573E-3</v>
      </c>
      <c r="G50" s="1145">
        <f t="shared" si="1"/>
        <v>7366648</v>
      </c>
      <c r="H50" s="944">
        <f t="shared" si="4"/>
        <v>0.18915479355709067</v>
      </c>
    </row>
    <row r="51" spans="1:8" x14ac:dyDescent="0.2">
      <c r="A51" s="96" t="s">
        <v>85</v>
      </c>
      <c r="B51" s="942"/>
      <c r="C51" s="1145">
        <f>+'EJE PRESUPUESTAL '!B60</f>
        <v>37578006</v>
      </c>
      <c r="D51" s="943">
        <f t="shared" si="2"/>
        <v>5.5899917243278398E-3</v>
      </c>
      <c r="E51" s="1145">
        <v>27740302</v>
      </c>
      <c r="F51" s="943">
        <f t="shared" si="3"/>
        <v>4.6459900260455008E-3</v>
      </c>
      <c r="G51" s="1145">
        <f t="shared" si="1"/>
        <v>9837704</v>
      </c>
      <c r="H51" s="944">
        <f t="shared" si="4"/>
        <v>0.35463579307824405</v>
      </c>
    </row>
    <row r="52" spans="1:8" x14ac:dyDescent="0.2">
      <c r="A52" s="96" t="s">
        <v>86</v>
      </c>
      <c r="B52" s="942"/>
      <c r="C52" s="1145">
        <f>+'EJE PRESUPUESTAL '!B61</f>
        <v>14663714</v>
      </c>
      <c r="D52" s="943">
        <f t="shared" si="2"/>
        <v>2.1813302150175367E-3</v>
      </c>
      <c r="E52" s="1145">
        <v>22183087</v>
      </c>
      <c r="F52" s="943">
        <f t="shared" si="3"/>
        <v>3.7152587938263835E-3</v>
      </c>
      <c r="G52" s="1145">
        <f t="shared" si="1"/>
        <v>-7519373</v>
      </c>
      <c r="H52" s="944">
        <f t="shared" si="4"/>
        <v>-0.33896873775953723</v>
      </c>
    </row>
    <row r="53" spans="1:8" x14ac:dyDescent="0.2">
      <c r="A53" s="96" t="s">
        <v>87</v>
      </c>
      <c r="B53" s="942"/>
      <c r="C53" s="1145">
        <f>+'EJE PRESUPUESTAL '!B62</f>
        <v>40890907</v>
      </c>
      <c r="D53" s="943">
        <f t="shared" si="2"/>
        <v>6.0828089635799011E-3</v>
      </c>
      <c r="E53" s="1145">
        <v>27843484</v>
      </c>
      <c r="F53" s="943">
        <f t="shared" si="3"/>
        <v>4.6632711119856405E-3</v>
      </c>
      <c r="G53" s="1145">
        <f t="shared" si="1"/>
        <v>13047423</v>
      </c>
      <c r="H53" s="944">
        <f t="shared" si="4"/>
        <v>0.46859879316826875</v>
      </c>
    </row>
    <row r="54" spans="1:8" x14ac:dyDescent="0.2">
      <c r="A54" s="96" t="s">
        <v>88</v>
      </c>
      <c r="B54" s="942"/>
      <c r="C54" s="1145">
        <f>+'EJE PRESUPUESTAL '!B64</f>
        <v>3102099</v>
      </c>
      <c r="D54" s="943">
        <f t="shared" si="2"/>
        <v>4.6145896453488424E-4</v>
      </c>
      <c r="E54" s="1145">
        <v>2849820</v>
      </c>
      <c r="F54" s="943">
        <f t="shared" si="3"/>
        <v>4.7729239919684326E-4</v>
      </c>
      <c r="G54" s="1145">
        <f t="shared" si="1"/>
        <v>252279</v>
      </c>
      <c r="H54" s="944">
        <f t="shared" si="4"/>
        <v>8.852453839189843E-2</v>
      </c>
    </row>
    <row r="55" spans="1:8" x14ac:dyDescent="0.2">
      <c r="A55" s="96" t="s">
        <v>89</v>
      </c>
      <c r="B55" s="942"/>
      <c r="C55" s="1145">
        <f>+'EJE PRESUPUESTAL '!B63</f>
        <v>18716646</v>
      </c>
      <c r="D55" s="943">
        <f t="shared" si="2"/>
        <v>2.784232251364635E-3</v>
      </c>
      <c r="E55" s="1145">
        <v>14296422</v>
      </c>
      <c r="F55" s="943">
        <f t="shared" si="3"/>
        <v>2.3943875600250307E-3</v>
      </c>
      <c r="G55" s="1145">
        <f t="shared" si="1"/>
        <v>4420224</v>
      </c>
      <c r="H55" s="944">
        <f t="shared" si="4"/>
        <v>0.30918393427390434</v>
      </c>
    </row>
    <row r="56" spans="1:8" x14ac:dyDescent="0.2">
      <c r="A56" s="96" t="s">
        <v>90</v>
      </c>
      <c r="B56" s="942"/>
      <c r="C56" s="1145">
        <f>+'EJE PRESUPUESTAL '!B65</f>
        <v>11207846</v>
      </c>
      <c r="D56" s="943">
        <f t="shared" si="2"/>
        <v>1.667245632659191E-3</v>
      </c>
      <c r="E56" s="1145">
        <v>13643451</v>
      </c>
      <c r="F56" s="943">
        <f t="shared" si="3"/>
        <v>2.2850269354255954E-3</v>
      </c>
      <c r="G56" s="1145">
        <f t="shared" si="1"/>
        <v>-2435605</v>
      </c>
      <c r="H56" s="944">
        <f t="shared" si="4"/>
        <v>-0.17851825025794427</v>
      </c>
    </row>
    <row r="57" spans="1:8" x14ac:dyDescent="0.2">
      <c r="A57" s="96" t="s">
        <v>92</v>
      </c>
      <c r="B57" s="942"/>
      <c r="C57" s="1145">
        <f>+'EJE PRESUPUESTAL '!B66</f>
        <v>0</v>
      </c>
      <c r="D57" s="943">
        <f t="shared" si="2"/>
        <v>0</v>
      </c>
      <c r="E57" s="1145">
        <v>5168496</v>
      </c>
      <c r="F57" s="943">
        <f t="shared" si="3"/>
        <v>8.6562795407404242E-4</v>
      </c>
      <c r="G57" s="1145">
        <f t="shared" si="1"/>
        <v>-5168496</v>
      </c>
      <c r="H57" s="944">
        <f t="shared" si="4"/>
        <v>-1</v>
      </c>
    </row>
    <row r="58" spans="1:8" hidden="1" x14ac:dyDescent="0.2">
      <c r="A58" s="96" t="s">
        <v>93</v>
      </c>
      <c r="B58" s="942"/>
      <c r="C58" s="1145">
        <f>+'EJE PRESUPUESTAL '!B67</f>
        <v>0</v>
      </c>
      <c r="D58" s="943">
        <f t="shared" si="2"/>
        <v>0</v>
      </c>
      <c r="E58" s="1145">
        <v>0</v>
      </c>
      <c r="F58" s="943">
        <f t="shared" si="3"/>
        <v>0</v>
      </c>
      <c r="G58" s="1145">
        <f t="shared" si="1"/>
        <v>0</v>
      </c>
      <c r="H58" s="944">
        <f t="shared" si="4"/>
        <v>0</v>
      </c>
    </row>
    <row r="59" spans="1:8" x14ac:dyDescent="0.2">
      <c r="A59" s="96" t="s">
        <v>1099</v>
      </c>
      <c r="B59" s="942"/>
      <c r="C59" s="1145">
        <f>+'EJE PRESUPUESTAL '!B83</f>
        <v>267956998</v>
      </c>
      <c r="D59" s="943">
        <f t="shared" si="2"/>
        <v>3.9860481189335363E-2</v>
      </c>
      <c r="E59" s="1145">
        <v>207669207</v>
      </c>
      <c r="F59" s="943">
        <f t="shared" si="3"/>
        <v>3.4780770030505746E-2</v>
      </c>
      <c r="G59" s="1145">
        <f t="shared" si="1"/>
        <v>60287791</v>
      </c>
      <c r="H59" s="944">
        <f t="shared" si="4"/>
        <v>0.29030683879868624</v>
      </c>
    </row>
    <row r="60" spans="1:8" x14ac:dyDescent="0.2">
      <c r="A60" s="96" t="s">
        <v>1100</v>
      </c>
      <c r="B60" s="942"/>
      <c r="C60" s="1145">
        <f>+'EJE PRESUPUESTAL '!B75+'EJE PRESUPUESTAL '!B76+'EJE PRESUPUESTAL '!B77+'EJE PRESUPUESTAL '!B78</f>
        <v>99107469</v>
      </c>
      <c r="D60" s="943">
        <f t="shared" si="2"/>
        <v>1.4742930519758762E-2</v>
      </c>
      <c r="E60" s="1145">
        <v>84549733</v>
      </c>
      <c r="F60" s="943">
        <f>+E60/$E$10</f>
        <v>1.4160524143638024E-2</v>
      </c>
      <c r="G60" s="1145">
        <f>C60-E60</f>
        <v>14557736</v>
      </c>
      <c r="H60" s="944">
        <f t="shared" si="4"/>
        <v>0.17217956205728052</v>
      </c>
    </row>
    <row r="61" spans="1:8" x14ac:dyDescent="0.2">
      <c r="A61" s="96" t="s">
        <v>1339</v>
      </c>
      <c r="B61" s="942"/>
      <c r="C61" s="1145">
        <f>+'EJE PRESUPUESTAL '!B71+'EJE PRESUPUESTAL '!B72</f>
        <v>494069108</v>
      </c>
      <c r="D61" s="943">
        <f t="shared" si="2"/>
        <v>7.3496242056218672E-2</v>
      </c>
      <c r="E61" s="1145">
        <v>437264533.77999997</v>
      </c>
      <c r="F61" s="943">
        <f>+E61/$E$10</f>
        <v>7.3233761574957479E-2</v>
      </c>
      <c r="G61" s="1145">
        <f>C61-E61</f>
        <v>56804574.220000029</v>
      </c>
      <c r="H61" s="944">
        <f t="shared" si="4"/>
        <v>0.12990894488730706</v>
      </c>
    </row>
    <row r="62" spans="1:8" x14ac:dyDescent="0.2">
      <c r="A62" s="96" t="s">
        <v>1343</v>
      </c>
      <c r="B62" s="942"/>
      <c r="C62" s="1145">
        <f>+'EJE PRESUPUESTAL '!B73+'EJE PRESUPUESTAL '!B74</f>
        <v>38090226</v>
      </c>
      <c r="D62" s="943">
        <f t="shared" si="2"/>
        <v>5.6661880387633423E-3</v>
      </c>
      <c r="E62" s="1145">
        <v>21660041</v>
      </c>
      <c r="F62" s="943">
        <f>+E62/$E$10</f>
        <v>3.6276582154634303E-3</v>
      </c>
      <c r="G62" s="1145">
        <f>C62-E62</f>
        <v>16430185</v>
      </c>
      <c r="H62" s="944">
        <f t="shared" si="4"/>
        <v>0.75854819480720281</v>
      </c>
    </row>
    <row r="63" spans="1:8" x14ac:dyDescent="0.2">
      <c r="A63" s="96" t="s">
        <v>99</v>
      </c>
      <c r="B63" s="946" t="s">
        <v>1464</v>
      </c>
      <c r="C63" s="1145">
        <f>+'EJE PRESUPUESTAL '!B79+'EJE PRESUPUESTAL '!B80+'EJE PRESUPUESTAL '!B81+'EJE PRESUPUESTAL '!B82</f>
        <v>118519018.72999999</v>
      </c>
      <c r="D63" s="943">
        <f t="shared" si="2"/>
        <v>1.7630534570571843E-2</v>
      </c>
      <c r="E63" s="1145">
        <v>105172979.01000001</v>
      </c>
      <c r="F63" s="943">
        <f t="shared" si="3"/>
        <v>1.7614538280439514E-2</v>
      </c>
      <c r="G63" s="1145">
        <f t="shared" si="1"/>
        <v>13346039.719999984</v>
      </c>
      <c r="H63" s="944">
        <f t="shared" si="4"/>
        <v>0.12689608914406639</v>
      </c>
    </row>
    <row r="64" spans="1:8" x14ac:dyDescent="0.2">
      <c r="A64" s="96" t="str">
        <f>+'EJE PRESUPUESTAL '!A68</f>
        <v>GASTO FONDO DE SOLIDARIDAD</v>
      </c>
      <c r="B64" s="945">
        <v>14</v>
      </c>
      <c r="C64" s="1145">
        <f>+'EJE PRESUPUESTAL '!B68</f>
        <v>58787201</v>
      </c>
      <c r="D64" s="943">
        <f t="shared" si="2"/>
        <v>8.7450081062416477E-3</v>
      </c>
      <c r="E64" s="1145">
        <v>49382866</v>
      </c>
      <c r="F64" s="943">
        <f t="shared" si="3"/>
        <v>8.2707211656722953E-3</v>
      </c>
      <c r="G64" s="1145">
        <f t="shared" si="1"/>
        <v>9404335</v>
      </c>
      <c r="H64" s="944">
        <f t="shared" si="4"/>
        <v>0.19043720548742554</v>
      </c>
    </row>
    <row r="65" spans="1:8" x14ac:dyDescent="0.2">
      <c r="A65" s="96" t="str">
        <f>+'EJE PRESUPUESTAL '!A69</f>
        <v>GASTO FONDO DE BIENESTAR SOCIAL</v>
      </c>
      <c r="B65" s="945">
        <v>14</v>
      </c>
      <c r="C65" s="1145">
        <f>+'EJE PRESUPUESTAL '!B69</f>
        <v>248247357</v>
      </c>
      <c r="D65" s="943">
        <f t="shared" si="2"/>
        <v>3.6928533973203864E-2</v>
      </c>
      <c r="E65" s="1145">
        <v>81795629</v>
      </c>
      <c r="F65" s="943">
        <f t="shared" si="3"/>
        <v>1.36992624127927E-2</v>
      </c>
      <c r="G65" s="1145">
        <f t="shared" si="1"/>
        <v>166451728</v>
      </c>
      <c r="H65" s="944">
        <f t="shared" si="4"/>
        <v>2.03497093958407</v>
      </c>
    </row>
    <row r="66" spans="1:8" x14ac:dyDescent="0.2">
      <c r="A66" s="96" t="str">
        <f>+'EJE PRESUPUESTAL '!A87</f>
        <v>PROYECTO COMUNICACIONES, PROTEC DATOS</v>
      </c>
      <c r="B66" s="945">
        <v>13</v>
      </c>
      <c r="C66" s="1145">
        <f>+'EJE PRESUPUESTAL '!B87</f>
        <v>184856440</v>
      </c>
      <c r="D66" s="943">
        <f t="shared" si="2"/>
        <v>2.7498690850938333E-2</v>
      </c>
      <c r="E66" s="1145">
        <v>124674205.2</v>
      </c>
      <c r="F66" s="943">
        <f t="shared" si="3"/>
        <v>2.088063474811306E-2</v>
      </c>
      <c r="G66" s="1145">
        <f t="shared" si="1"/>
        <v>60182234.799999997</v>
      </c>
      <c r="H66" s="944">
        <f t="shared" si="4"/>
        <v>0.48271600932572051</v>
      </c>
    </row>
    <row r="67" spans="1:8" x14ac:dyDescent="0.2">
      <c r="A67" s="96" t="str">
        <f>+'EJE PRESUPUESTAL '!A85</f>
        <v>DESARROLLO ACTIVIDAD SOCIAL</v>
      </c>
      <c r="B67" s="945"/>
      <c r="C67" s="1145">
        <f>+'EJE PRESUPUESTAL '!B85</f>
        <v>2150000</v>
      </c>
      <c r="D67" s="943">
        <f t="shared" si="2"/>
        <v>3.1982756635104203E-4</v>
      </c>
      <c r="E67" s="1145">
        <v>8051209</v>
      </c>
      <c r="F67" s="943">
        <f t="shared" si="3"/>
        <v>1.3484293253767667E-3</v>
      </c>
      <c r="G67" s="1145">
        <f t="shared" si="1"/>
        <v>-5901209</v>
      </c>
      <c r="H67" s="944">
        <f t="shared" si="4"/>
        <v>-0.73295936051343347</v>
      </c>
    </row>
    <row r="68" spans="1:8" x14ac:dyDescent="0.2">
      <c r="A68" s="96" t="str">
        <f>+'EJE PRESUPUESTAL '!A88</f>
        <v>PROYECTOS FORTALECIMIENTO AREA FINANCIERA</v>
      </c>
      <c r="B68" s="945">
        <v>13</v>
      </c>
      <c r="C68" s="1145">
        <f>+'EJE PRESUPUESTAL '!B88</f>
        <v>52302607</v>
      </c>
      <c r="D68" s="943">
        <f t="shared" si="2"/>
        <v>7.7803793072674298E-3</v>
      </c>
      <c r="E68" s="1145">
        <v>62026423</v>
      </c>
      <c r="F68" s="943">
        <f t="shared" si="3"/>
        <v>1.0388284259099965E-2</v>
      </c>
      <c r="G68" s="1145">
        <f t="shared" si="1"/>
        <v>-9723816</v>
      </c>
      <c r="H68" s="944">
        <f t="shared" si="4"/>
        <v>-0.15676893055722396</v>
      </c>
    </row>
    <row r="69" spans="1:8" x14ac:dyDescent="0.2">
      <c r="A69" s="96" t="s">
        <v>1102</v>
      </c>
      <c r="B69" s="946" t="s">
        <v>1232</v>
      </c>
      <c r="C69" s="1145">
        <f>+'EJE PRESUPUESTAL '!B70</f>
        <v>33977983</v>
      </c>
      <c r="D69" s="943">
        <f t="shared" si="2"/>
        <v>5.0544630755381759E-3</v>
      </c>
      <c r="E69" s="1145">
        <v>25548453.800000001</v>
      </c>
      <c r="F69" s="943">
        <f t="shared" si="3"/>
        <v>4.278895793408604E-3</v>
      </c>
      <c r="G69" s="1145">
        <f t="shared" si="1"/>
        <v>8429529.1999999993</v>
      </c>
      <c r="H69" s="944">
        <f t="shared" si="4"/>
        <v>0.32994283200026764</v>
      </c>
    </row>
    <row r="70" spans="1:8" ht="15.75" thickBot="1" x14ac:dyDescent="0.25">
      <c r="A70" s="96" t="s">
        <v>1463</v>
      </c>
      <c r="B70" s="945">
        <v>13</v>
      </c>
      <c r="C70" s="1145">
        <f>+'EJE PRESUPUESTAL '!B84</f>
        <v>3469988</v>
      </c>
      <c r="D70" s="943">
        <f t="shared" si="2"/>
        <v>5.1618503130572999E-4</v>
      </c>
      <c r="E70" s="1145">
        <v>1896000</v>
      </c>
      <c r="F70" s="943">
        <f>+E70/$E$10</f>
        <v>3.1754510420911315E-4</v>
      </c>
      <c r="G70" s="1145">
        <f>C70-E70</f>
        <v>1573988</v>
      </c>
      <c r="H70" s="944">
        <f>IF(E70&lt;&gt;0,G70/E70,0)</f>
        <v>0.83016244725738397</v>
      </c>
    </row>
    <row r="71" spans="1:8" ht="15.75" thickBot="1" x14ac:dyDescent="0.25">
      <c r="A71" s="937" t="s">
        <v>100</v>
      </c>
      <c r="B71" s="937"/>
      <c r="C71" s="1151">
        <f>SUM(C24:C70)</f>
        <v>3465754433.73</v>
      </c>
      <c r="D71" s="939">
        <f t="shared" si="2"/>
        <v>0.51555525865590679</v>
      </c>
      <c r="E71" s="1151">
        <f>SUM(E24:E70)</f>
        <v>2969039331.1300001</v>
      </c>
      <c r="F71" s="939">
        <f t="shared" si="3"/>
        <v>0.49725944293493224</v>
      </c>
      <c r="G71" s="1151">
        <f>C71-E71</f>
        <v>496715102.5999999</v>
      </c>
      <c r="H71" s="940">
        <f t="shared" si="4"/>
        <v>0.16729825617060884</v>
      </c>
    </row>
    <row r="72" spans="1:8" ht="15.75" thickBot="1" x14ac:dyDescent="0.25">
      <c r="A72" s="19"/>
      <c r="B72" s="20"/>
      <c r="C72" s="21"/>
      <c r="D72" s="934"/>
      <c r="E72" s="22"/>
      <c r="F72" s="934"/>
      <c r="G72" s="21"/>
      <c r="H72" s="947"/>
    </row>
    <row r="73" spans="1:8" ht="15.75" thickBot="1" x14ac:dyDescent="0.25">
      <c r="A73" s="937" t="s">
        <v>101</v>
      </c>
      <c r="B73" s="937"/>
      <c r="C73" s="938">
        <f>+C20-C71</f>
        <v>266706958.21999979</v>
      </c>
      <c r="D73" s="939">
        <f>+C73/$C$10</f>
        <v>3.9674529012275146E-2</v>
      </c>
      <c r="E73" s="938">
        <f>+E20-E71</f>
        <v>19183246.399999619</v>
      </c>
      <c r="F73" s="939">
        <f>+E73/$E$10</f>
        <v>3.2128407052515683E-3</v>
      </c>
      <c r="G73" s="938">
        <f>+G20-G71</f>
        <v>250882511.82000017</v>
      </c>
      <c r="H73" s="940">
        <f t="shared" si="4"/>
        <v>13.078209318106094</v>
      </c>
    </row>
    <row r="74" spans="1:8" ht="15.75" thickBot="1" x14ac:dyDescent="0.25">
      <c r="A74" s="19"/>
      <c r="B74" s="20"/>
      <c r="C74" s="21"/>
      <c r="D74" s="948"/>
      <c r="E74" s="22"/>
      <c r="F74" s="948"/>
      <c r="G74" s="21"/>
      <c r="H74" s="935"/>
    </row>
    <row r="75" spans="1:8" ht="15.75" thickBot="1" x14ac:dyDescent="0.25">
      <c r="A75" s="941" t="s">
        <v>102</v>
      </c>
      <c r="B75" s="922" t="s">
        <v>1062</v>
      </c>
      <c r="C75" s="923" t="s">
        <v>1522</v>
      </c>
      <c r="D75" s="922" t="s">
        <v>1065</v>
      </c>
      <c r="E75" s="923" t="s">
        <v>1433</v>
      </c>
      <c r="F75" s="922" t="s">
        <v>1065</v>
      </c>
      <c r="G75" s="922" t="s">
        <v>1095</v>
      </c>
      <c r="H75" s="922" t="s">
        <v>1096</v>
      </c>
    </row>
    <row r="76" spans="1:8" x14ac:dyDescent="0.2">
      <c r="A76" s="9" t="s">
        <v>1265</v>
      </c>
      <c r="B76" s="949" t="s">
        <v>1349</v>
      </c>
      <c r="C76" s="1152">
        <f>+'EJE PRESUPUESTAL '!B97</f>
        <v>325865654.75999999</v>
      </c>
      <c r="D76" s="950">
        <f>+C76/$C$10</f>
        <v>4.8474799683385882E-2</v>
      </c>
      <c r="E76" s="1152">
        <v>211053590.56</v>
      </c>
      <c r="F76" s="950">
        <f>+E76/$E$10</f>
        <v>3.5347591987385393E-2</v>
      </c>
      <c r="G76" s="1152">
        <f>C76-E76</f>
        <v>114812064.19999999</v>
      </c>
      <c r="H76" s="951">
        <f>IF(E76&lt;&gt;0,G76/E76,0)</f>
        <v>0.5439948398667982</v>
      </c>
    </row>
    <row r="77" spans="1:8" ht="15.75" thickBot="1" x14ac:dyDescent="0.25">
      <c r="A77" s="33" t="s">
        <v>1342</v>
      </c>
      <c r="B77" s="949" t="s">
        <v>1349</v>
      </c>
      <c r="C77" s="1153">
        <f>+'EJE PRESUPUESTAL '!B98</f>
        <v>9120444</v>
      </c>
      <c r="D77" s="950">
        <f>+C77/$C$10</f>
        <v>1.3567299574702154E-3</v>
      </c>
      <c r="E77" s="1153">
        <v>2562903</v>
      </c>
      <c r="F77" s="950">
        <f>+E77/$E$10</f>
        <v>4.2923908239074298E-4</v>
      </c>
      <c r="G77" s="34">
        <v>0</v>
      </c>
      <c r="H77" s="951">
        <f>IF(E77&lt;&gt;0,G77/E77,0)</f>
        <v>0</v>
      </c>
    </row>
    <row r="78" spans="1:8" ht="15.75" thickBot="1" x14ac:dyDescent="0.25">
      <c r="A78" s="937" t="s">
        <v>105</v>
      </c>
      <c r="B78" s="937"/>
      <c r="C78" s="1151">
        <f>SUM(C76:C77)</f>
        <v>334986098.75999999</v>
      </c>
      <c r="D78" s="939">
        <f>+C78/$C$10</f>
        <v>4.9831529640856097E-2</v>
      </c>
      <c r="E78" s="1151">
        <f>SUM(E76:E77)</f>
        <v>213616493.56</v>
      </c>
      <c r="F78" s="939">
        <f>+E78/$E$10</f>
        <v>3.5776831069776131E-2</v>
      </c>
      <c r="G78" s="1151">
        <f>SUM(G76:G76)</f>
        <v>114812064.19999999</v>
      </c>
      <c r="H78" s="940">
        <f>IF(E78&lt;&gt;0,G78/E78,0)</f>
        <v>0.53746816215645776</v>
      </c>
    </row>
    <row r="79" spans="1:8" ht="15.75" thickBot="1" x14ac:dyDescent="0.25">
      <c r="A79" s="19"/>
      <c r="B79" s="20"/>
      <c r="C79" s="31"/>
      <c r="D79" s="948"/>
      <c r="E79" s="32"/>
      <c r="F79" s="948"/>
      <c r="G79" s="31"/>
      <c r="H79" s="935"/>
    </row>
    <row r="80" spans="1:8" ht="15.75" thickBot="1" x14ac:dyDescent="0.25">
      <c r="A80" s="937" t="s">
        <v>109</v>
      </c>
      <c r="B80" s="937"/>
      <c r="C80" s="1151">
        <f>+C73+C78</f>
        <v>601693056.97999978</v>
      </c>
      <c r="D80" s="939">
        <f>+C80/$C$10</f>
        <v>8.9506058653131243E-2</v>
      </c>
      <c r="E80" s="1151">
        <f>+E73+E78</f>
        <v>232799739.95999962</v>
      </c>
      <c r="F80" s="939">
        <f>+E80/$E$10</f>
        <v>3.8989671775027705E-2</v>
      </c>
      <c r="G80" s="1151">
        <f>C80-E80</f>
        <v>368893317.02000016</v>
      </c>
      <c r="H80" s="952">
        <f>IF(E80&lt;&gt;0,G80/E80,0)</f>
        <v>1.5845950561774018</v>
      </c>
    </row>
    <row r="81" spans="1:8" x14ac:dyDescent="0.2">
      <c r="A81" s="648"/>
      <c r="B81" s="649"/>
      <c r="C81" s="1171"/>
      <c r="D81" s="650"/>
      <c r="E81" s="650"/>
      <c r="F81" s="651"/>
      <c r="G81" s="651"/>
      <c r="H81" s="648"/>
    </row>
    <row r="82" spans="1:8" x14ac:dyDescent="0.2">
      <c r="A82" s="652"/>
      <c r="B82" s="653"/>
      <c r="C82" s="654"/>
      <c r="D82" s="651"/>
      <c r="E82" s="655"/>
      <c r="F82" s="652"/>
      <c r="G82" s="648"/>
      <c r="H82" s="648"/>
    </row>
    <row r="83" spans="1:8" x14ac:dyDescent="0.2">
      <c r="A83" s="652"/>
      <c r="B83" s="653"/>
      <c r="C83" s="654"/>
      <c r="D83" s="651"/>
      <c r="E83" s="655"/>
      <c r="F83" s="652"/>
      <c r="G83" s="648"/>
      <c r="H83" s="648"/>
    </row>
    <row r="84" spans="1:8" x14ac:dyDescent="0.2">
      <c r="A84" s="652"/>
      <c r="B84" s="653"/>
      <c r="C84" s="654"/>
      <c r="D84" s="651"/>
      <c r="E84" s="655"/>
      <c r="F84" s="652"/>
      <c r="G84" s="648"/>
      <c r="H84" s="648"/>
    </row>
    <row r="85" spans="1:8" x14ac:dyDescent="0.2">
      <c r="A85" s="652" t="s">
        <v>1091</v>
      </c>
      <c r="B85" s="1283" t="s">
        <v>1171</v>
      </c>
      <c r="C85" s="1283"/>
      <c r="D85" s="644"/>
      <c r="E85" s="1275" t="s">
        <v>1366</v>
      </c>
      <c r="F85" s="1275"/>
      <c r="G85" s="1275"/>
      <c r="H85" s="656"/>
    </row>
    <row r="86" spans="1:8" x14ac:dyDescent="0.2">
      <c r="A86" s="657" t="s">
        <v>1092</v>
      </c>
      <c r="B86" s="646" t="s">
        <v>1286</v>
      </c>
      <c r="C86" s="646"/>
      <c r="D86" s="644"/>
      <c r="E86" s="1275" t="s">
        <v>1365</v>
      </c>
      <c r="F86" s="1275"/>
      <c r="G86" s="1275"/>
      <c r="H86" s="648"/>
    </row>
    <row r="87" spans="1:8" x14ac:dyDescent="0.2">
      <c r="A87" s="658"/>
      <c r="B87" s="659"/>
      <c r="C87" s="658"/>
      <c r="D87" s="660"/>
      <c r="E87" s="1275" t="s">
        <v>1371</v>
      </c>
      <c r="F87" s="1275"/>
      <c r="G87" s="1275"/>
      <c r="H87" s="661"/>
    </row>
    <row r="88" spans="1:8" x14ac:dyDescent="0.2">
      <c r="E88" s="1274" t="s">
        <v>1347</v>
      </c>
      <c r="F88" s="1274"/>
      <c r="G88" s="1274"/>
    </row>
  </sheetData>
  <sheetProtection algorithmName="SHA-512" hashValue="xjNyYnUujzzSQQxaF+f5KmMUf2l/fUwvvihX6RboGIqy/8dmtLKXOTIZ+GLY5+LilHCRoylEMS9slE9NgIIumA==" saltValue="aFzeascJ0vJ554/RaAiEiQ==" spinCount="100000" sheet="1" objects="1" scenarios="1"/>
  <mergeCells count="12">
    <mergeCell ref="E88:G88"/>
    <mergeCell ref="E87:G87"/>
    <mergeCell ref="A1:H1"/>
    <mergeCell ref="A2:H2"/>
    <mergeCell ref="A3:H3"/>
    <mergeCell ref="A4:H4"/>
    <mergeCell ref="A5:H5"/>
    <mergeCell ref="A12:H12"/>
    <mergeCell ref="B85:C85"/>
    <mergeCell ref="A22:H22"/>
    <mergeCell ref="E85:G85"/>
    <mergeCell ref="E86:G86"/>
  </mergeCells>
  <pageMargins left="0.7" right="0.7" top="0.75" bottom="0.75" header="0.3" footer="0.3"/>
  <pageSetup scale="87" fitToWidth="3" fitToHeight="3" orientation="landscape" r:id="rId1"/>
  <headerFooter>
    <oddFooter>&amp;C&amp;P de 3</oddFooter>
  </headerFooter>
  <rowBreaks count="2" manualBreakCount="2">
    <brk id="37" max="16383" man="1"/>
    <brk id="71" max="16383" man="1"/>
  </rowBreaks>
  <ignoredErrors>
    <ignoredError sqref="B8:B9 B15:B16 B14 B76:B77 B69 B63" numberStoredAsText="1"/>
    <ignoredError sqref="D71 D73 D78 D80 F78 F73 E10 D18 D20 F20 F18" formula="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tabColor rgb="FF92D050"/>
  </sheetPr>
  <dimension ref="A1:J47"/>
  <sheetViews>
    <sheetView zoomScale="90" zoomScaleNormal="90" zoomScaleSheetLayoutView="110" workbookViewId="0">
      <selection activeCell="C7" sqref="C7"/>
    </sheetView>
  </sheetViews>
  <sheetFormatPr baseColWidth="10" defaultRowHeight="15" x14ac:dyDescent="0.2"/>
  <cols>
    <col min="1" max="1" width="48.77734375" bestFit="1" customWidth="1"/>
    <col min="2" max="2" width="20.88671875" bestFit="1" customWidth="1"/>
    <col min="3" max="3" width="17.5546875" bestFit="1" customWidth="1"/>
    <col min="4" max="4" width="19.44140625" bestFit="1" customWidth="1"/>
    <col min="5" max="5" width="8.44140625" bestFit="1" customWidth="1"/>
  </cols>
  <sheetData>
    <row r="1" spans="1:8" x14ac:dyDescent="0.2">
      <c r="A1" s="1278" t="str">
        <f>+'EST CAMBIO PATRIMONIO 24-23'!A1:E1</f>
        <v>FONDO DE EMPLEADOS DEL SECTOR INDUSTRIAL, TURISTICO, COMERCIAL Y DE SERVICIOS</v>
      </c>
      <c r="B1" s="1278"/>
      <c r="C1" s="1278"/>
      <c r="D1" s="1278"/>
      <c r="E1" s="1278"/>
    </row>
    <row r="2" spans="1:8" x14ac:dyDescent="0.2">
      <c r="A2" s="1278" t="s">
        <v>1103</v>
      </c>
      <c r="B2" s="1278"/>
      <c r="C2" s="1278"/>
      <c r="D2" s="1278"/>
      <c r="E2" s="1278"/>
    </row>
    <row r="3" spans="1:8" x14ac:dyDescent="0.2">
      <c r="A3" s="1278" t="s">
        <v>1535</v>
      </c>
      <c r="B3" s="1278"/>
      <c r="C3" s="1278"/>
      <c r="D3" s="1278"/>
      <c r="E3" s="1278"/>
    </row>
    <row r="4" spans="1:8" ht="15.75" thickBot="1" x14ac:dyDescent="0.25">
      <c r="A4" s="833"/>
      <c r="B4" s="833"/>
      <c r="C4" s="1278" t="s">
        <v>1368</v>
      </c>
      <c r="D4" s="1278"/>
      <c r="E4" s="1278"/>
    </row>
    <row r="5" spans="1:8" ht="15.75" thickBot="1" x14ac:dyDescent="0.25">
      <c r="A5" s="1284" t="s">
        <v>1104</v>
      </c>
      <c r="B5" s="1285"/>
      <c r="C5" s="1285"/>
      <c r="D5" s="1285"/>
      <c r="E5" s="1286"/>
    </row>
    <row r="6" spans="1:8" ht="16.5" thickBot="1" x14ac:dyDescent="0.25">
      <c r="A6" s="908" t="s">
        <v>1104</v>
      </c>
      <c r="B6" s="908" t="s">
        <v>1522</v>
      </c>
      <c r="C6" s="908" t="s">
        <v>1433</v>
      </c>
      <c r="D6" s="908" t="s">
        <v>1063</v>
      </c>
      <c r="E6" s="908" t="s">
        <v>1105</v>
      </c>
    </row>
    <row r="7" spans="1:8" x14ac:dyDescent="0.2">
      <c r="A7" s="844" t="s">
        <v>1106</v>
      </c>
      <c r="B7" s="889">
        <f>+'PYG COMPARTIVO 24-23'!C80</f>
        <v>601693056.97999978</v>
      </c>
      <c r="C7" s="889">
        <f>+'ESTADO SIT FINANCIERA 24-23'!E75</f>
        <v>232799740</v>
      </c>
      <c r="D7" s="889">
        <f>+B7-C7</f>
        <v>368893316.97999978</v>
      </c>
      <c r="E7" s="909">
        <f>+D7/C7</f>
        <v>1.5845950557333088</v>
      </c>
    </row>
    <row r="8" spans="1:8" x14ac:dyDescent="0.2">
      <c r="A8" s="844" t="s">
        <v>1536</v>
      </c>
      <c r="B8" s="889"/>
      <c r="C8" s="889"/>
      <c r="D8" s="889"/>
      <c r="E8" s="909"/>
    </row>
    <row r="9" spans="1:8" x14ac:dyDescent="0.2">
      <c r="A9" s="844" t="s">
        <v>1107</v>
      </c>
      <c r="B9" s="889">
        <f>+'PYG COMPARTIVO 24-23'!C60</f>
        <v>99107469</v>
      </c>
      <c r="C9" s="889">
        <f>+'PYG COMPARTIVO 24-23'!E60</f>
        <v>84549733</v>
      </c>
      <c r="D9" s="889">
        <f>+B9-C9</f>
        <v>14557736</v>
      </c>
      <c r="E9" s="909">
        <v>-0.44237430744479345</v>
      </c>
    </row>
    <row r="10" spans="1:8" ht="15.75" thickBot="1" x14ac:dyDescent="0.25">
      <c r="A10" s="844" t="s">
        <v>1108</v>
      </c>
      <c r="B10" s="889">
        <f>-'PYG COMPARTIVO 24-23'!C9</f>
        <v>-319408338</v>
      </c>
      <c r="C10" s="889">
        <f>-'PYG COMPARTIVO 24-23'!E9</f>
        <v>-229723982</v>
      </c>
      <c r="D10" s="889">
        <f>+B10-C10</f>
        <v>-89684356</v>
      </c>
      <c r="E10" s="909">
        <f>+D10/C10</f>
        <v>0.39040049375428293</v>
      </c>
    </row>
    <row r="11" spans="1:8" ht="16.5" thickBot="1" x14ac:dyDescent="0.3">
      <c r="A11" s="910" t="s">
        <v>1109</v>
      </c>
      <c r="B11" s="911">
        <f>+B7+B9+B10</f>
        <v>381392187.97999978</v>
      </c>
      <c r="C11" s="911">
        <f>+C7+C9+C10</f>
        <v>87625491</v>
      </c>
      <c r="D11" s="911">
        <f>+D7+D9+D10</f>
        <v>293766696.97999978</v>
      </c>
      <c r="E11" s="912">
        <f>+D11/C11</f>
        <v>3.3525255451065008</v>
      </c>
    </row>
    <row r="12" spans="1:8" ht="16.5" thickBot="1" x14ac:dyDescent="0.3">
      <c r="A12" s="913"/>
      <c r="B12" s="186"/>
      <c r="C12" s="893"/>
      <c r="D12" s="893"/>
      <c r="E12" s="909"/>
      <c r="H12" t="s">
        <v>31</v>
      </c>
    </row>
    <row r="13" spans="1:8" ht="16.5" thickBot="1" x14ac:dyDescent="0.3">
      <c r="A13" s="914" t="s">
        <v>1110</v>
      </c>
      <c r="B13" s="186"/>
      <c r="C13" s="893"/>
      <c r="D13" s="889"/>
      <c r="E13" s="909"/>
    </row>
    <row r="14" spans="1:8" x14ac:dyDescent="0.2">
      <c r="A14" s="844" t="s">
        <v>1111</v>
      </c>
      <c r="B14" s="889">
        <f>+('ESTADO SIT FINANCIERA 24-23'!F17+'ESTADO SIT FINANCIERA 24-23'!F15+'ESTADO SIT FINANCIERA 24-23'!F14+'ESTADO SIT FINANCIERA 24-23'!F10+'ESTADO SIT FINANCIERA 24-23'!F23+'ESTADO SIT FINANCIERA 24-23'!F12)</f>
        <v>972219047</v>
      </c>
      <c r="C14" s="889">
        <v>2304132840.0999999</v>
      </c>
      <c r="D14" s="889">
        <f>+B14-C14</f>
        <v>-1331913793.0999999</v>
      </c>
      <c r="E14" s="909">
        <f>+D14/C14</f>
        <v>-0.57805425534501498</v>
      </c>
    </row>
    <row r="15" spans="1:8" x14ac:dyDescent="0.2">
      <c r="A15" s="844" t="s">
        <v>1112</v>
      </c>
      <c r="B15" s="889">
        <f>+('ESTADO SIT FINANCIERA 24-23'!F39)</f>
        <v>7888668.9999999925</v>
      </c>
      <c r="C15" s="889">
        <v>45687910</v>
      </c>
      <c r="D15" s="889">
        <f>+B15-C15</f>
        <v>-37799241.000000007</v>
      </c>
      <c r="E15" s="909">
        <v>0</v>
      </c>
    </row>
    <row r="16" spans="1:8" x14ac:dyDescent="0.2">
      <c r="A16" s="844" t="s">
        <v>1113</v>
      </c>
      <c r="B16" s="889">
        <f>+'ESTADO SIT FINANCIERA 24-23'!F55</f>
        <v>-319827868.43000031</v>
      </c>
      <c r="C16" s="889">
        <v>5742144155.2000008</v>
      </c>
      <c r="D16" s="889">
        <f>+B16-C16</f>
        <v>-6061972023.6300011</v>
      </c>
      <c r="E16" s="909">
        <f>+D16/C16</f>
        <v>-1.0556983349399838</v>
      </c>
    </row>
    <row r="17" spans="1:5" x14ac:dyDescent="0.2">
      <c r="A17" s="844" t="s">
        <v>1114</v>
      </c>
      <c r="B17" s="915">
        <f>(+C7)</f>
        <v>232799740</v>
      </c>
      <c r="C17" s="915">
        <v>392894747</v>
      </c>
      <c r="D17" s="889">
        <f>+B17-C17</f>
        <v>-160095007</v>
      </c>
      <c r="E17" s="909">
        <f>+D17/C17</f>
        <v>-0.40747555986031037</v>
      </c>
    </row>
    <row r="18" spans="1:5" ht="15.75" thickBot="1" x14ac:dyDescent="0.25">
      <c r="A18" s="844" t="s">
        <v>1115</v>
      </c>
      <c r="B18" s="889">
        <f>SUM(B14:B17)</f>
        <v>893079587.56999969</v>
      </c>
      <c r="C18" s="889">
        <f>SUM(C14:C17)</f>
        <v>8484859652.3000011</v>
      </c>
      <c r="D18" s="889">
        <f>+B18-C18</f>
        <v>-7591780064.7300014</v>
      </c>
      <c r="E18" s="909">
        <f>+D18/C18</f>
        <v>-0.89474432999868048</v>
      </c>
    </row>
    <row r="19" spans="1:5" ht="16.5" thickBot="1" x14ac:dyDescent="0.3">
      <c r="A19" s="910" t="s">
        <v>1116</v>
      </c>
      <c r="B19" s="911">
        <f>+B11+B18</f>
        <v>1274471775.5499995</v>
      </c>
      <c r="C19" s="911">
        <f>+C11+C18</f>
        <v>8572485143.3000011</v>
      </c>
      <c r="D19" s="911">
        <f>+D11+D18</f>
        <v>-7298013367.7500019</v>
      </c>
      <c r="E19" s="916">
        <f>+D19/C19</f>
        <v>-0.85132995225473351</v>
      </c>
    </row>
    <row r="20" spans="1:5" ht="16.5" thickBot="1" x14ac:dyDescent="0.3">
      <c r="A20" s="913"/>
      <c r="B20" s="186"/>
      <c r="C20" s="893"/>
      <c r="D20" s="893"/>
      <c r="E20" s="917"/>
    </row>
    <row r="21" spans="1:5" ht="15.75" thickBot="1" x14ac:dyDescent="0.25">
      <c r="A21" s="1284" t="s">
        <v>1117</v>
      </c>
      <c r="B21" s="1285"/>
      <c r="C21" s="1285"/>
      <c r="D21" s="1285"/>
      <c r="E21" s="1286"/>
    </row>
    <row r="22" spans="1:5" ht="16.5" thickBot="1" x14ac:dyDescent="0.25">
      <c r="A22" s="908" t="s">
        <v>1117</v>
      </c>
      <c r="B22" s="908" t="s">
        <v>1522</v>
      </c>
      <c r="C22" s="908" t="s">
        <v>1433</v>
      </c>
      <c r="D22" s="908" t="s">
        <v>1063</v>
      </c>
      <c r="E22" s="908" t="s">
        <v>1105</v>
      </c>
    </row>
    <row r="23" spans="1:5" x14ac:dyDescent="0.2">
      <c r="A23" s="844" t="s">
        <v>1118</v>
      </c>
      <c r="B23" s="918">
        <f>+'ESTADO SIT FINANCIERA 24-23'!F6</f>
        <v>32574585.960000038</v>
      </c>
      <c r="C23" s="889">
        <v>2067810746.6500001</v>
      </c>
      <c r="D23" s="889">
        <f>+B23-C23</f>
        <v>-2035236160.6900001</v>
      </c>
      <c r="E23" s="909">
        <f>+D23/C23</f>
        <v>-0.98424682432240318</v>
      </c>
    </row>
    <row r="24" spans="1:5" x14ac:dyDescent="0.2">
      <c r="A24" s="844" t="s">
        <v>1119</v>
      </c>
      <c r="B24" s="889">
        <f>+'ESTADO SIT FINANCIERA 24-23'!F20</f>
        <v>-27302257</v>
      </c>
      <c r="C24" s="889">
        <v>2605104</v>
      </c>
      <c r="D24" s="889">
        <f>+B24-C24</f>
        <v>-29907361</v>
      </c>
      <c r="E24" s="909"/>
    </row>
    <row r="25" spans="1:5" x14ac:dyDescent="0.2">
      <c r="A25" s="844" t="s">
        <v>1120</v>
      </c>
      <c r="B25" s="889">
        <f>+'ESTADO SIT FINANCIERA 24-23'!F8</f>
        <v>566952754</v>
      </c>
      <c r="C25" s="889">
        <v>82679777</v>
      </c>
      <c r="D25" s="889">
        <f>+B25-C25</f>
        <v>484272977</v>
      </c>
      <c r="E25" s="909">
        <f>+D25/C25</f>
        <v>5.8572119395048681</v>
      </c>
    </row>
    <row r="26" spans="1:5" ht="15.75" thickBot="1" x14ac:dyDescent="0.25">
      <c r="A26" s="844" t="s">
        <v>1121</v>
      </c>
      <c r="B26" s="889">
        <f>(+'ESTADO SIT FINANCIERA 24-23'!F32+'ESTADO SIT FINANCIERA 24-23'!F33)*-1</f>
        <v>-42584337.999999985</v>
      </c>
      <c r="C26" s="889">
        <v>-24647883</v>
      </c>
      <c r="D26" s="889">
        <f>+B26-C26</f>
        <v>-17936454.999999985</v>
      </c>
      <c r="E26" s="909">
        <f>+D26/C26</f>
        <v>0.72770773051786986</v>
      </c>
    </row>
    <row r="27" spans="1:5" ht="16.5" thickBot="1" x14ac:dyDescent="0.3">
      <c r="A27" s="910" t="s">
        <v>1122</v>
      </c>
      <c r="B27" s="911">
        <f>SUM(B23:B26)</f>
        <v>529640744.96000004</v>
      </c>
      <c r="C27" s="911">
        <f>SUM(C23:C26)</f>
        <v>2128447744.6500001</v>
      </c>
      <c r="D27" s="911">
        <f>SUM(D23:D26)</f>
        <v>-1598806999.6900001</v>
      </c>
      <c r="E27" s="916">
        <f>+D27/C27</f>
        <v>-0.75116102977332255</v>
      </c>
    </row>
    <row r="28" spans="1:5" ht="16.5" thickBot="1" x14ac:dyDescent="0.3">
      <c r="A28" s="913"/>
      <c r="B28" s="186"/>
      <c r="C28" s="893"/>
      <c r="D28" s="893"/>
      <c r="E28" s="917"/>
    </row>
    <row r="29" spans="1:5" ht="15.75" thickBot="1" x14ac:dyDescent="0.25">
      <c r="A29" s="1284" t="s">
        <v>1123</v>
      </c>
      <c r="B29" s="1285"/>
      <c r="C29" s="1285"/>
      <c r="D29" s="1285"/>
      <c r="E29" s="1286"/>
    </row>
    <row r="30" spans="1:5" ht="16.5" thickBot="1" x14ac:dyDescent="0.25">
      <c r="A30" s="908" t="s">
        <v>1117</v>
      </c>
      <c r="B30" s="908" t="s">
        <v>1522</v>
      </c>
      <c r="C30" s="908" t="s">
        <v>1433</v>
      </c>
      <c r="D30" s="908" t="s">
        <v>1063</v>
      </c>
      <c r="E30" s="908" t="s">
        <v>1105</v>
      </c>
    </row>
    <row r="31" spans="1:5" x14ac:dyDescent="0.2">
      <c r="A31" s="844" t="s">
        <v>1124</v>
      </c>
      <c r="B31" s="889">
        <f>+'ESTADO SIT FINANCIERA 24-23'!F60</f>
        <v>-3341035996.1599998</v>
      </c>
      <c r="C31" s="889">
        <v>-826368327.06000042</v>
      </c>
      <c r="D31" s="889">
        <f>+B31-C31</f>
        <v>-2514667669.0999994</v>
      </c>
      <c r="E31" s="909">
        <f>+D31/C31</f>
        <v>3.0430349116192783</v>
      </c>
    </row>
    <row r="32" spans="1:5" x14ac:dyDescent="0.2">
      <c r="A32" s="844" t="s">
        <v>1125</v>
      </c>
      <c r="B32" s="889">
        <f>+'ESTADO SIT FINANCIERA 24-23'!F68</f>
        <v>2327997</v>
      </c>
      <c r="C32" s="889">
        <v>0</v>
      </c>
      <c r="D32" s="889">
        <f>+B32-C32</f>
        <v>2327997</v>
      </c>
      <c r="E32" s="909" t="e">
        <f>+D32/C32</f>
        <v>#DIV/0!</v>
      </c>
    </row>
    <row r="33" spans="1:10" x14ac:dyDescent="0.2">
      <c r="A33" s="844" t="s">
        <v>1126</v>
      </c>
      <c r="B33" s="889">
        <f>+'ESTADO SIT FINANCIERA 24-23'!F66+'ESTADO SIT FINANCIERA 24-23'!F67</f>
        <v>87035097</v>
      </c>
      <c r="C33" s="889">
        <v>56280520</v>
      </c>
      <c r="D33" s="889">
        <f>+B33-C33</f>
        <v>30754577</v>
      </c>
      <c r="E33" s="909">
        <f>+D33/C33</f>
        <v>0.54645154309164168</v>
      </c>
    </row>
    <row r="34" spans="1:10" ht="15.75" thickBot="1" x14ac:dyDescent="0.25">
      <c r="A34" s="844" t="s">
        <v>1127</v>
      </c>
      <c r="B34" s="889">
        <f>+'ESTADO SIT FINANCIERA 24-23'!F59</f>
        <v>1688898531.5</v>
      </c>
      <c r="C34" s="889">
        <v>1435968462.0000019</v>
      </c>
      <c r="D34" s="889">
        <f>+B34-C34</f>
        <v>252930069.49999809</v>
      </c>
      <c r="E34" s="909">
        <f>+D34/C34</f>
        <v>0.17613901432606655</v>
      </c>
    </row>
    <row r="35" spans="1:10" ht="16.5" thickBot="1" x14ac:dyDescent="0.3">
      <c r="A35" s="910" t="s">
        <v>1128</v>
      </c>
      <c r="B35" s="919">
        <f>SUM(B31:B34)</f>
        <v>-1562774370.6599998</v>
      </c>
      <c r="C35" s="919">
        <f>SUM(C31:C34)</f>
        <v>665880654.94000149</v>
      </c>
      <c r="D35" s="919">
        <f>SUM(D31:D34)</f>
        <v>-2228655025.6000013</v>
      </c>
      <c r="E35" s="916">
        <f>+D35/C35</f>
        <v>-3.3469286261226676</v>
      </c>
    </row>
    <row r="36" spans="1:10" ht="15.75" thickBot="1" x14ac:dyDescent="0.25">
      <c r="A36" s="844"/>
      <c r="B36" s="833"/>
      <c r="C36" s="889"/>
      <c r="D36" s="889"/>
      <c r="E36" s="909"/>
    </row>
    <row r="37" spans="1:10" ht="16.5" thickBot="1" x14ac:dyDescent="0.3">
      <c r="A37" s="910" t="s">
        <v>1129</v>
      </c>
      <c r="B37" s="911">
        <f>+B19+B27+B35-1</f>
        <v>241338148.84999967</v>
      </c>
      <c r="C37" s="911">
        <f>+C19+C27+C35-1</f>
        <v>11366813541.890003</v>
      </c>
      <c r="D37" s="911">
        <f>+D19+D27+D35</f>
        <v>-11125475393.040005</v>
      </c>
      <c r="E37" s="916">
        <f>+D37/C37</f>
        <v>-0.97876817914179748</v>
      </c>
    </row>
    <row r="38" spans="1:10" x14ac:dyDescent="0.2">
      <c r="A38" s="844" t="s">
        <v>1130</v>
      </c>
      <c r="B38" s="920">
        <f>+'ESTADO SIT FINANCIERA 24-23'!E9</f>
        <v>4346931446.0900002</v>
      </c>
      <c r="C38" s="889">
        <v>2102602232.4400001</v>
      </c>
      <c r="D38" s="889">
        <f>+B38-C38</f>
        <v>2244329213.6500001</v>
      </c>
      <c r="E38" s="909">
        <f>+D38/C38</f>
        <v>1.0674055125707398</v>
      </c>
    </row>
    <row r="39" spans="1:10" ht="15.75" thickBot="1" x14ac:dyDescent="0.25">
      <c r="A39" s="844" t="s">
        <v>1131</v>
      </c>
      <c r="B39" s="920">
        <f>+'ESTADO SIT FINANCIERA 24-23'!D9</f>
        <v>4900338784.0500002</v>
      </c>
      <c r="C39" s="889">
        <v>4346931446.0900002</v>
      </c>
      <c r="D39" s="889">
        <f>+B39-C39</f>
        <v>553407337.96000004</v>
      </c>
      <c r="E39" s="909">
        <f>+D39/C39</f>
        <v>0.1273098839545265</v>
      </c>
    </row>
    <row r="40" spans="1:10" ht="16.5" thickBot="1" x14ac:dyDescent="0.3">
      <c r="A40" s="910" t="s">
        <v>1132</v>
      </c>
      <c r="B40" s="911">
        <f>B39-B38</f>
        <v>553407337.96000004</v>
      </c>
      <c r="C40" s="911">
        <f>C39-C38</f>
        <v>2244329213.6500001</v>
      </c>
      <c r="D40" s="911">
        <f>D39-D38</f>
        <v>-1690921875.6900001</v>
      </c>
      <c r="E40" s="916">
        <f>+D40/C40</f>
        <v>-0.7534197146326933</v>
      </c>
      <c r="J40" s="758"/>
    </row>
    <row r="41" spans="1:10" x14ac:dyDescent="0.2">
      <c r="A41" s="661"/>
      <c r="B41" s="661"/>
      <c r="C41" s="662"/>
      <c r="D41" s="662"/>
      <c r="E41" s="663"/>
      <c r="J41" s="758"/>
    </row>
    <row r="42" spans="1:10" x14ac:dyDescent="0.2">
      <c r="A42" s="661"/>
      <c r="B42" s="661"/>
      <c r="C42" s="662"/>
      <c r="D42" s="662"/>
      <c r="E42" s="663"/>
      <c r="J42" s="758"/>
    </row>
    <row r="43" spans="1:10" x14ac:dyDescent="0.2">
      <c r="E43" s="658"/>
    </row>
    <row r="44" spans="1:10" x14ac:dyDescent="0.2">
      <c r="A44" s="652" t="s">
        <v>1091</v>
      </c>
      <c r="B44" s="760" t="s">
        <v>1171</v>
      </c>
      <c r="C44" s="760"/>
      <c r="D44" s="1275" t="s">
        <v>1366</v>
      </c>
      <c r="E44" s="1275"/>
      <c r="F44" s="1275"/>
    </row>
    <row r="45" spans="1:10" x14ac:dyDescent="0.2">
      <c r="A45" s="657" t="s">
        <v>1092</v>
      </c>
      <c r="B45" s="759" t="s">
        <v>1286</v>
      </c>
      <c r="C45" s="759"/>
      <c r="D45" s="1275" t="s">
        <v>1365</v>
      </c>
      <c r="E45" s="1275"/>
      <c r="F45" s="1275"/>
    </row>
    <row r="46" spans="1:10" x14ac:dyDescent="0.2">
      <c r="A46" s="658"/>
      <c r="B46" s="659"/>
      <c r="C46" s="658"/>
      <c r="D46" s="1275" t="s">
        <v>1371</v>
      </c>
      <c r="E46" s="1275"/>
      <c r="F46" s="1275"/>
    </row>
    <row r="47" spans="1:10" x14ac:dyDescent="0.2">
      <c r="D47" s="1274" t="s">
        <v>1347</v>
      </c>
      <c r="E47" s="1274"/>
      <c r="F47" s="1274"/>
    </row>
  </sheetData>
  <sheetProtection algorithmName="SHA-512" hashValue="ybTF+sjePrgAguet7poC/ukv1Uy+g012Ud0Yo+tC1Z5lAVykNg9q7DE7/S1ZtHn764N9LLuIgR/EMMJGWtV8Gw==" saltValue="qCfq5K2LrZtXJhekhCkAbg==" spinCount="100000" sheet="1" objects="1" scenarios="1"/>
  <mergeCells count="11">
    <mergeCell ref="A1:E1"/>
    <mergeCell ref="A2:E2"/>
    <mergeCell ref="A3:E3"/>
    <mergeCell ref="A5:E5"/>
    <mergeCell ref="A21:E21"/>
    <mergeCell ref="C4:E4"/>
    <mergeCell ref="D44:F44"/>
    <mergeCell ref="D45:F45"/>
    <mergeCell ref="D46:F46"/>
    <mergeCell ref="D47:F47"/>
    <mergeCell ref="A29:E29"/>
  </mergeCells>
  <pageMargins left="0.7" right="0.7" top="0.75" bottom="0.75" header="0.3" footer="0.3"/>
  <pageSetup scale="69" orientation="landscape" r:id="rId1"/>
  <headerFooter>
    <oddFooter>&amp;C&amp;P de 1</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tabColor rgb="FF92D050"/>
    <pageSetUpPr fitToPage="1"/>
  </sheetPr>
  <dimension ref="A1:E70"/>
  <sheetViews>
    <sheetView zoomScaleNormal="100" workbookViewId="0">
      <selection activeCell="D18" sqref="D18"/>
    </sheetView>
  </sheetViews>
  <sheetFormatPr baseColWidth="10" defaultRowHeight="15" x14ac:dyDescent="0.2"/>
  <cols>
    <col min="1" max="1" width="38.33203125" bestFit="1" customWidth="1"/>
    <col min="2" max="2" width="22.88671875" bestFit="1" customWidth="1"/>
    <col min="3" max="3" width="16.88671875" bestFit="1" customWidth="1"/>
    <col min="4" max="4" width="30.44140625" customWidth="1"/>
    <col min="5" max="5" width="7.44140625" bestFit="1" customWidth="1"/>
    <col min="7" max="7" width="14.77734375" bestFit="1" customWidth="1"/>
  </cols>
  <sheetData>
    <row r="1" spans="1:5" x14ac:dyDescent="0.2">
      <c r="A1" s="1278" t="s">
        <v>1363</v>
      </c>
      <c r="B1" s="1278"/>
      <c r="C1" s="1278"/>
      <c r="D1" s="1278"/>
      <c r="E1" s="1278"/>
    </row>
    <row r="2" spans="1:5" x14ac:dyDescent="0.2">
      <c r="A2" s="1278" t="s">
        <v>1149</v>
      </c>
      <c r="B2" s="1278"/>
      <c r="C2" s="1278"/>
      <c r="D2" s="1278"/>
      <c r="E2" s="1278"/>
    </row>
    <row r="3" spans="1:5" x14ac:dyDescent="0.2">
      <c r="A3" s="1278" t="s">
        <v>1535</v>
      </c>
      <c r="B3" s="1278"/>
      <c r="C3" s="1278"/>
      <c r="D3" s="1278"/>
      <c r="E3" s="1278"/>
    </row>
    <row r="4" spans="1:5" ht="15.75" thickBot="1" x14ac:dyDescent="0.25">
      <c r="A4" s="1278" t="s">
        <v>1368</v>
      </c>
      <c r="B4" s="1278"/>
      <c r="C4" s="1278"/>
      <c r="D4" s="1278"/>
      <c r="E4" s="1278"/>
    </row>
    <row r="5" spans="1:5" ht="16.5" thickBot="1" x14ac:dyDescent="0.3">
      <c r="A5" s="887" t="s">
        <v>41</v>
      </c>
      <c r="B5" s="888" t="s">
        <v>1522</v>
      </c>
      <c r="C5" s="888" t="s">
        <v>1433</v>
      </c>
      <c r="D5" s="888" t="s">
        <v>1063</v>
      </c>
      <c r="E5" s="888" t="s">
        <v>1105</v>
      </c>
    </row>
    <row r="6" spans="1:5" ht="15.75" x14ac:dyDescent="0.25">
      <c r="A6" s="186" t="s">
        <v>1150</v>
      </c>
      <c r="B6" s="889">
        <f>+'ESTADO SIT FINANCIERA 24-23'!E66+'ESTADO SIT FINANCIERA 24-23'!E67</f>
        <v>2603406321</v>
      </c>
      <c r="C6" s="889">
        <v>2547125801</v>
      </c>
      <c r="D6" s="889">
        <f>+B6-C6</f>
        <v>56280520</v>
      </c>
      <c r="E6" s="556">
        <f>+D6/C6</f>
        <v>2.2095697031494992E-2</v>
      </c>
    </row>
    <row r="7" spans="1:5" ht="16.5" thickBot="1" x14ac:dyDescent="0.3">
      <c r="A7" s="186" t="s">
        <v>1374</v>
      </c>
      <c r="B7" s="889">
        <f>+'ESTADO SIT FINANCIERA 24-23'!F66+'ESTADO SIT FINANCIERA 24-23'!F67</f>
        <v>87035097</v>
      </c>
      <c r="C7" s="889">
        <v>56280520</v>
      </c>
      <c r="D7" s="889"/>
      <c r="E7" s="556"/>
    </row>
    <row r="8" spans="1:5" ht="16.5" thickBot="1" x14ac:dyDescent="0.3">
      <c r="A8" s="890" t="s">
        <v>1152</v>
      </c>
      <c r="B8" s="891">
        <f>+B6+B7</f>
        <v>2690441418</v>
      </c>
      <c r="C8" s="891">
        <f>+C6+C7</f>
        <v>2603406321</v>
      </c>
      <c r="D8" s="891">
        <f>+D6+D7</f>
        <v>56280520</v>
      </c>
      <c r="E8" s="892">
        <f>+D8/C8</f>
        <v>2.1618031555820288E-2</v>
      </c>
    </row>
    <row r="9" spans="1:5" ht="15.75" x14ac:dyDescent="0.25">
      <c r="A9" s="186"/>
      <c r="B9" s="893"/>
      <c r="C9" s="893"/>
      <c r="D9" s="893"/>
      <c r="E9" s="894"/>
    </row>
    <row r="10" spans="1:5" ht="15.75" thickBot="1" x14ac:dyDescent="0.25">
      <c r="A10" s="833"/>
      <c r="B10" s="889"/>
      <c r="C10" s="889"/>
      <c r="D10" s="889"/>
      <c r="E10" s="556"/>
    </row>
    <row r="11" spans="1:5" ht="16.5" thickBot="1" x14ac:dyDescent="0.3">
      <c r="A11" s="887" t="s">
        <v>42</v>
      </c>
      <c r="B11" s="888" t="str">
        <f>+B5</f>
        <v>AÑO 2024</v>
      </c>
      <c r="C11" s="888" t="str">
        <f>+C5</f>
        <v>AÑO 2023</v>
      </c>
      <c r="D11" s="888" t="s">
        <v>1063</v>
      </c>
      <c r="E11" s="888" t="s">
        <v>1105</v>
      </c>
    </row>
    <row r="12" spans="1:5" ht="15.75" x14ac:dyDescent="0.25">
      <c r="A12" s="186" t="s">
        <v>1150</v>
      </c>
      <c r="B12" s="889">
        <f>+C14</f>
        <v>1043812937</v>
      </c>
      <c r="C12" s="889">
        <v>1043812937</v>
      </c>
      <c r="D12" s="889">
        <f>+B12-C12</f>
        <v>0</v>
      </c>
      <c r="E12" s="556">
        <f>+D12/C12</f>
        <v>0</v>
      </c>
    </row>
    <row r="13" spans="1:5" ht="16.5" thickBot="1" x14ac:dyDescent="0.3">
      <c r="A13" s="186" t="s">
        <v>1374</v>
      </c>
      <c r="B13" s="889">
        <f>+'ESTADO SIT FINANCIERA 24-23'!F68</f>
        <v>2327997</v>
      </c>
      <c r="C13" s="889">
        <v>0</v>
      </c>
      <c r="D13" s="889"/>
      <c r="E13" s="556"/>
    </row>
    <row r="14" spans="1:5" ht="16.5" thickBot="1" x14ac:dyDescent="0.3">
      <c r="A14" s="890" t="s">
        <v>1152</v>
      </c>
      <c r="B14" s="895">
        <f>SUM(B12:B13)</f>
        <v>1046140934</v>
      </c>
      <c r="C14" s="895">
        <f>SUM(C12:C13)</f>
        <v>1043812937</v>
      </c>
      <c r="D14" s="895">
        <f>+B14-C14</f>
        <v>2327997</v>
      </c>
      <c r="E14" s="892">
        <f>+D14/C14</f>
        <v>2.2302818038362751E-3</v>
      </c>
    </row>
    <row r="15" spans="1:5" ht="15.75" x14ac:dyDescent="0.25">
      <c r="A15" s="186"/>
      <c r="B15" s="893"/>
      <c r="C15" s="893"/>
      <c r="D15" s="893"/>
      <c r="E15" s="894"/>
    </row>
    <row r="16" spans="1:5" ht="15.75" thickBot="1" x14ac:dyDescent="0.25">
      <c r="A16" s="833"/>
      <c r="B16" s="889"/>
      <c r="C16" s="889"/>
      <c r="D16" s="889"/>
      <c r="E16" s="556"/>
    </row>
    <row r="17" spans="1:5" ht="16.5" thickBot="1" x14ac:dyDescent="0.3">
      <c r="A17" s="887" t="s">
        <v>43</v>
      </c>
      <c r="B17" s="888" t="str">
        <f>+B5</f>
        <v>AÑO 2024</v>
      </c>
      <c r="C17" s="888" t="str">
        <f>+C5</f>
        <v>AÑO 2023</v>
      </c>
      <c r="D17" s="888" t="s">
        <v>1063</v>
      </c>
      <c r="E17" s="888" t="s">
        <v>1105</v>
      </c>
    </row>
    <row r="18" spans="1:5" ht="15.75" x14ac:dyDescent="0.25">
      <c r="A18" s="186" t="s">
        <v>1150</v>
      </c>
      <c r="B18" s="889">
        <f>+C20</f>
        <v>862292786</v>
      </c>
      <c r="C18" s="889">
        <v>783713837</v>
      </c>
      <c r="D18" s="889">
        <f>+B18-C18</f>
        <v>78578949</v>
      </c>
      <c r="E18" s="556">
        <f>+D18/C18</f>
        <v>0.10026484832881673</v>
      </c>
    </row>
    <row r="19" spans="1:5" ht="16.5" thickBot="1" x14ac:dyDescent="0.3">
      <c r="A19" s="186" t="s">
        <v>1374</v>
      </c>
      <c r="B19" s="889">
        <f>+'ESTADO SIT FINANCIERA 24-23'!F69</f>
        <v>46559948</v>
      </c>
      <c r="C19" s="889">
        <v>78578949</v>
      </c>
      <c r="D19" s="889">
        <f>+B19-C19</f>
        <v>-32019001</v>
      </c>
      <c r="E19" s="556">
        <v>0</v>
      </c>
    </row>
    <row r="20" spans="1:5" ht="16.5" thickBot="1" x14ac:dyDescent="0.3">
      <c r="A20" s="896" t="s">
        <v>1152</v>
      </c>
      <c r="B20" s="895">
        <f>SUM(B18:B19)</f>
        <v>908852734</v>
      </c>
      <c r="C20" s="891">
        <f>SUM(C18:C19)</f>
        <v>862292786</v>
      </c>
      <c r="D20" s="895">
        <f>+B20-C20</f>
        <v>46559948</v>
      </c>
      <c r="E20" s="897"/>
    </row>
    <row r="21" spans="1:5" ht="15.75" x14ac:dyDescent="0.25">
      <c r="A21" s="186"/>
      <c r="B21" s="893"/>
      <c r="C21" s="893"/>
      <c r="D21" s="893"/>
      <c r="E21" s="894"/>
    </row>
    <row r="22" spans="1:5" ht="15.75" thickBot="1" x14ac:dyDescent="0.25">
      <c r="A22" s="833"/>
      <c r="B22" s="889"/>
      <c r="C22" s="889"/>
      <c r="D22" s="889"/>
      <c r="E22" s="556"/>
    </row>
    <row r="23" spans="1:5" ht="16.5" thickBot="1" x14ac:dyDescent="0.3">
      <c r="A23" s="887" t="str">
        <f>+'BALANCE AÑO ANTERIOR'!B98</f>
        <v>FONDOS SOCIALES CAPITALIZADOS</v>
      </c>
      <c r="B23" s="888" t="str">
        <f>+B5</f>
        <v>AÑO 2024</v>
      </c>
      <c r="C23" s="888" t="str">
        <f>+C5</f>
        <v>AÑO 2023</v>
      </c>
      <c r="D23" s="888" t="s">
        <v>1063</v>
      </c>
      <c r="E23" s="888" t="s">
        <v>1105</v>
      </c>
    </row>
    <row r="24" spans="1:5" ht="15.75" x14ac:dyDescent="0.25">
      <c r="A24" s="186" t="s">
        <v>1150</v>
      </c>
      <c r="B24" s="889">
        <f>+C26</f>
        <v>321951746.92000002</v>
      </c>
      <c r="C24" s="889">
        <v>321951746.92000002</v>
      </c>
      <c r="D24" s="889">
        <f>+B24-C24</f>
        <v>0</v>
      </c>
      <c r="E24" s="556">
        <f>+D24/C24</f>
        <v>0</v>
      </c>
    </row>
    <row r="25" spans="1:5" ht="15.75" thickBot="1" x14ac:dyDescent="0.25">
      <c r="A25" s="833"/>
      <c r="B25" s="889">
        <f>+'ESTADO SIT FINANCIERA 24-23'!F70</f>
        <v>0</v>
      </c>
      <c r="C25" s="889">
        <v>0</v>
      </c>
      <c r="D25" s="889">
        <f>+B25-C25</f>
        <v>0</v>
      </c>
      <c r="E25" s="556"/>
    </row>
    <row r="26" spans="1:5" ht="16.5" thickBot="1" x14ac:dyDescent="0.3">
      <c r="A26" s="896" t="s">
        <v>1152</v>
      </c>
      <c r="B26" s="895">
        <f>SUM(B24:B25)</f>
        <v>321951746.92000002</v>
      </c>
      <c r="C26" s="891">
        <f>SUM(C24:C25)</f>
        <v>321951746.92000002</v>
      </c>
      <c r="D26" s="895">
        <f>+B26-C26</f>
        <v>0</v>
      </c>
      <c r="E26" s="897">
        <f>+D26/C26</f>
        <v>0</v>
      </c>
    </row>
    <row r="27" spans="1:5" ht="15.75" hidden="1" x14ac:dyDescent="0.25">
      <c r="A27" s="186"/>
      <c r="B27" s="893"/>
      <c r="C27" s="893"/>
      <c r="D27" s="893"/>
      <c r="E27" s="894"/>
    </row>
    <row r="28" spans="1:5" hidden="1" x14ac:dyDescent="0.2">
      <c r="A28" s="833"/>
      <c r="B28" s="889"/>
      <c r="C28" s="889"/>
      <c r="D28" s="889"/>
      <c r="E28" s="556"/>
    </row>
    <row r="29" spans="1:5" hidden="1" x14ac:dyDescent="0.2">
      <c r="A29" s="833"/>
      <c r="B29" s="889"/>
      <c r="C29" s="889"/>
      <c r="D29" s="889"/>
      <c r="E29" s="556"/>
    </row>
    <row r="30" spans="1:5" ht="15.75" hidden="1" x14ac:dyDescent="0.25">
      <c r="A30" s="186" t="s">
        <v>44</v>
      </c>
      <c r="B30" s="893"/>
      <c r="C30" s="893"/>
      <c r="D30" s="889"/>
      <c r="E30" s="556"/>
    </row>
    <row r="31" spans="1:5" hidden="1" x14ac:dyDescent="0.2">
      <c r="A31" s="833" t="s">
        <v>1150</v>
      </c>
      <c r="B31" s="889" t="e">
        <v>#REF!</v>
      </c>
      <c r="C31" s="889">
        <v>0</v>
      </c>
      <c r="D31" s="889" t="e">
        <f>+B31-C31</f>
        <v>#REF!</v>
      </c>
      <c r="E31" s="556"/>
    </row>
    <row r="32" spans="1:5" hidden="1" x14ac:dyDescent="0.2">
      <c r="A32" s="833" t="s">
        <v>1151</v>
      </c>
      <c r="B32" s="898">
        <v>0</v>
      </c>
      <c r="C32" s="898">
        <v>0</v>
      </c>
      <c r="D32" s="898">
        <f>+B32-C32</f>
        <v>0</v>
      </c>
      <c r="E32" s="899"/>
    </row>
    <row r="33" spans="1:5" hidden="1" x14ac:dyDescent="0.2">
      <c r="A33" s="900" t="s">
        <v>1152</v>
      </c>
      <c r="B33" s="901" t="e">
        <f>SUM(B31:B32)</f>
        <v>#REF!</v>
      </c>
      <c r="C33" s="901">
        <v>0</v>
      </c>
      <c r="D33" s="901" t="e">
        <f>+B33-C33</f>
        <v>#REF!</v>
      </c>
      <c r="E33" s="902">
        <v>0</v>
      </c>
    </row>
    <row r="34" spans="1:5" ht="15.75" thickBot="1" x14ac:dyDescent="0.25">
      <c r="A34" s="833"/>
      <c r="B34" s="889"/>
      <c r="C34" s="889"/>
      <c r="D34" s="889"/>
      <c r="E34" s="556"/>
    </row>
    <row r="35" spans="1:5" ht="16.5" thickBot="1" x14ac:dyDescent="0.3">
      <c r="A35" s="887" t="s">
        <v>1548</v>
      </c>
      <c r="B35" s="888" t="str">
        <f>+B5</f>
        <v>AÑO 2024</v>
      </c>
      <c r="C35" s="888" t="str">
        <f>+C5</f>
        <v>AÑO 2023</v>
      </c>
      <c r="D35" s="888" t="s">
        <v>1063</v>
      </c>
      <c r="E35" s="888" t="s">
        <v>1105</v>
      </c>
    </row>
    <row r="36" spans="1:5" ht="15.75" x14ac:dyDescent="0.25">
      <c r="A36" s="186" t="s">
        <v>1150</v>
      </c>
      <c r="B36" s="889">
        <f>+C38</f>
        <v>524722873</v>
      </c>
      <c r="C36" s="889">
        <v>524722873</v>
      </c>
      <c r="D36" s="889">
        <f>+B36-C36</f>
        <v>0</v>
      </c>
      <c r="E36" s="556">
        <f>+D36/C36</f>
        <v>0</v>
      </c>
    </row>
    <row r="37" spans="1:5" ht="16.5" thickBot="1" x14ac:dyDescent="0.3">
      <c r="A37" s="186"/>
      <c r="B37" s="889">
        <f>+'ESTADO SIT FINANCIERA 24-23'!F72</f>
        <v>0</v>
      </c>
      <c r="C37" s="889">
        <v>0</v>
      </c>
      <c r="D37" s="889">
        <f>+B37-C37</f>
        <v>0</v>
      </c>
      <c r="E37" s="556">
        <v>0</v>
      </c>
    </row>
    <row r="38" spans="1:5" ht="16.5" thickBot="1" x14ac:dyDescent="0.3">
      <c r="A38" s="896" t="s">
        <v>1152</v>
      </c>
      <c r="B38" s="895">
        <f>SUM(B36:B37)</f>
        <v>524722873</v>
      </c>
      <c r="C38" s="891">
        <f>SUM(C36:C37)</f>
        <v>524722873</v>
      </c>
      <c r="D38" s="895">
        <f>+B38-C38</f>
        <v>0</v>
      </c>
      <c r="E38" s="897">
        <v>0</v>
      </c>
    </row>
    <row r="39" spans="1:5" x14ac:dyDescent="0.2">
      <c r="A39" s="833"/>
      <c r="B39" s="889"/>
      <c r="C39" s="889"/>
      <c r="D39" s="889"/>
      <c r="E39" s="556"/>
    </row>
    <row r="40" spans="1:5" ht="15.75" thickBot="1" x14ac:dyDescent="0.25">
      <c r="A40" s="833"/>
      <c r="B40" s="889"/>
      <c r="C40" s="889"/>
      <c r="D40" s="889"/>
      <c r="E40" s="556"/>
    </row>
    <row r="41" spans="1:5" ht="16.5" thickBot="1" x14ac:dyDescent="0.3">
      <c r="A41" s="887" t="s">
        <v>45</v>
      </c>
      <c r="B41" s="888" t="str">
        <f>+B5</f>
        <v>AÑO 2024</v>
      </c>
      <c r="C41" s="888" t="str">
        <f>+C5</f>
        <v>AÑO 2023</v>
      </c>
      <c r="D41" s="888" t="s">
        <v>1063</v>
      </c>
      <c r="E41" s="888" t="s">
        <v>1105</v>
      </c>
    </row>
    <row r="42" spans="1:5" ht="15.75" x14ac:dyDescent="0.25">
      <c r="A42" s="186" t="s">
        <v>1150</v>
      </c>
      <c r="B42" s="889">
        <f>+C44</f>
        <v>72733902</v>
      </c>
      <c r="C42" s="889">
        <v>72733902</v>
      </c>
      <c r="D42" s="889">
        <f>+B42-C42</f>
        <v>0</v>
      </c>
      <c r="E42" s="556">
        <f>+D42/C42</f>
        <v>0</v>
      </c>
    </row>
    <row r="43" spans="1:5" ht="15.75" thickBot="1" x14ac:dyDescent="0.25">
      <c r="A43" s="833"/>
      <c r="B43" s="889">
        <f>+'ESTADO SIT FINANCIERA 24-23'!F71</f>
        <v>0</v>
      </c>
      <c r="C43" s="889">
        <v>0</v>
      </c>
      <c r="D43" s="889">
        <f>+B43-C43</f>
        <v>0</v>
      </c>
      <c r="E43" s="556">
        <v>0</v>
      </c>
    </row>
    <row r="44" spans="1:5" ht="16.5" thickBot="1" x14ac:dyDescent="0.3">
      <c r="A44" s="896" t="s">
        <v>1152</v>
      </c>
      <c r="B44" s="891">
        <f>+B42+B43</f>
        <v>72733902</v>
      </c>
      <c r="C44" s="891">
        <f>SUM(C42:C43)</f>
        <v>72733902</v>
      </c>
      <c r="D44" s="891">
        <f>+B44-C44</f>
        <v>0</v>
      </c>
      <c r="E44" s="897">
        <f>+D44/C44</f>
        <v>0</v>
      </c>
    </row>
    <row r="45" spans="1:5" ht="16.5" thickBot="1" x14ac:dyDescent="0.3">
      <c r="A45" s="186"/>
      <c r="B45" s="893"/>
      <c r="C45" s="893"/>
      <c r="D45" s="893"/>
      <c r="E45" s="894"/>
    </row>
    <row r="46" spans="1:5" ht="16.5" thickBot="1" x14ac:dyDescent="0.3">
      <c r="A46" s="887" t="s">
        <v>1465</v>
      </c>
      <c r="B46" s="888" t="s">
        <v>1522</v>
      </c>
      <c r="C46" s="888" t="s">
        <v>1433</v>
      </c>
      <c r="D46" s="888" t="s">
        <v>1063</v>
      </c>
      <c r="E46" s="888" t="s">
        <v>1105</v>
      </c>
    </row>
    <row r="47" spans="1:5" ht="15.75" x14ac:dyDescent="0.25">
      <c r="A47" s="186" t="s">
        <v>1150</v>
      </c>
      <c r="B47" s="889">
        <f>+C47</f>
        <v>318552865</v>
      </c>
      <c r="C47" s="889">
        <v>318552865</v>
      </c>
      <c r="D47" s="889">
        <f>+B47-C47</f>
        <v>0</v>
      </c>
      <c r="E47" s="556">
        <f>+D47/C47</f>
        <v>0</v>
      </c>
    </row>
    <row r="48" spans="1:5" ht="15.75" thickBot="1" x14ac:dyDescent="0.25">
      <c r="A48" s="833"/>
      <c r="B48" s="889">
        <f>+'ESTADO SIT FINANCIERA 24-23'!F73</f>
        <v>0</v>
      </c>
      <c r="C48" s="889">
        <v>0</v>
      </c>
      <c r="D48" s="889">
        <f>+B48-C48</f>
        <v>0</v>
      </c>
      <c r="E48" s="556">
        <v>0</v>
      </c>
    </row>
    <row r="49" spans="1:5" ht="16.5" thickBot="1" x14ac:dyDescent="0.3">
      <c r="A49" s="896" t="s">
        <v>1152</v>
      </c>
      <c r="B49" s="891">
        <f>+B47+B48</f>
        <v>318552865</v>
      </c>
      <c r="C49" s="891">
        <f>SUM(C47:C48)</f>
        <v>318552865</v>
      </c>
      <c r="D49" s="891">
        <f>+B49-C49</f>
        <v>0</v>
      </c>
      <c r="E49" s="897">
        <f>+D49/C49</f>
        <v>0</v>
      </c>
    </row>
    <row r="50" spans="1:5" ht="15.75" thickBot="1" x14ac:dyDescent="0.25">
      <c r="A50" s="833"/>
      <c r="B50" s="889"/>
      <c r="C50" s="889"/>
      <c r="D50" s="889"/>
      <c r="E50" s="556"/>
    </row>
    <row r="51" spans="1:5" ht="16.5" thickBot="1" x14ac:dyDescent="0.3">
      <c r="A51" s="887" t="str">
        <f>+'ESTADO SIT FINANCIERA 24-23'!B74</f>
        <v>UTILIDAD EMPRESA FILIAL</v>
      </c>
      <c r="B51" s="888" t="s">
        <v>1522</v>
      </c>
      <c r="C51" s="888" t="s">
        <v>1433</v>
      </c>
      <c r="D51" s="888" t="s">
        <v>1063</v>
      </c>
      <c r="E51" s="888" t="s">
        <v>1105</v>
      </c>
    </row>
    <row r="52" spans="1:5" ht="15.75" x14ac:dyDescent="0.25">
      <c r="A52" s="186" t="s">
        <v>1150</v>
      </c>
      <c r="B52" s="889">
        <f>+C54</f>
        <v>375783285</v>
      </c>
      <c r="C52" s="889">
        <v>268858672</v>
      </c>
      <c r="D52" s="889">
        <f>+B52-C52</f>
        <v>106924613</v>
      </c>
      <c r="E52" s="556">
        <f>+D52/C52</f>
        <v>0.3976982114975261</v>
      </c>
    </row>
    <row r="53" spans="1:5" ht="15.75" thickBot="1" x14ac:dyDescent="0.25">
      <c r="A53" s="833"/>
      <c r="B53" s="889">
        <f>+'ESTADO SIT FINANCIERA 24-23'!F74</f>
        <v>346043672</v>
      </c>
      <c r="C53" s="889">
        <v>106924613</v>
      </c>
      <c r="D53" s="889">
        <f>+B53-C53</f>
        <v>239119059</v>
      </c>
      <c r="E53" s="556">
        <v>0</v>
      </c>
    </row>
    <row r="54" spans="1:5" ht="16.5" thickBot="1" x14ac:dyDescent="0.3">
      <c r="A54" s="896" t="s">
        <v>1152</v>
      </c>
      <c r="B54" s="891">
        <f>+B52+B53</f>
        <v>721826957</v>
      </c>
      <c r="C54" s="891">
        <f>SUM(C52:C53)</f>
        <v>375783285</v>
      </c>
      <c r="D54" s="891">
        <f>+B54-C54</f>
        <v>346043672</v>
      </c>
      <c r="E54" s="897">
        <f>+D54/C54</f>
        <v>0.92085967048800477</v>
      </c>
    </row>
    <row r="55" spans="1:5" ht="16.5" thickBot="1" x14ac:dyDescent="0.3">
      <c r="A55" s="1111"/>
      <c r="B55" s="1112"/>
      <c r="C55" s="1112"/>
      <c r="D55" s="1112"/>
      <c r="E55" s="1113"/>
    </row>
    <row r="56" spans="1:5" ht="16.5" thickBot="1" x14ac:dyDescent="0.3">
      <c r="A56" s="887" t="s">
        <v>1153</v>
      </c>
      <c r="B56" s="888" t="str">
        <f>+B5</f>
        <v>AÑO 2024</v>
      </c>
      <c r="C56" s="888" t="str">
        <f>+C5</f>
        <v>AÑO 2023</v>
      </c>
      <c r="D56" s="888" t="s">
        <v>1063</v>
      </c>
      <c r="E56" s="888" t="s">
        <v>1105</v>
      </c>
    </row>
    <row r="57" spans="1:5" ht="15.75" x14ac:dyDescent="0.25">
      <c r="A57" s="186" t="s">
        <v>1150</v>
      </c>
      <c r="B57" s="889">
        <f>+'ESTADO SIT FINANCIERA 24-23'!E75</f>
        <v>232799740</v>
      </c>
      <c r="C57" s="889">
        <v>392894747</v>
      </c>
      <c r="D57" s="889">
        <f>+B57-C57</f>
        <v>-160095007</v>
      </c>
      <c r="E57" s="556">
        <v>0</v>
      </c>
    </row>
    <row r="58" spans="1:5" ht="16.5" thickBot="1" x14ac:dyDescent="0.3">
      <c r="A58" s="186" t="s">
        <v>1374</v>
      </c>
      <c r="B58" s="889">
        <f>+'ESTADO SIT FINANCIERA 24-23'!F75</f>
        <v>368893317</v>
      </c>
      <c r="C58" s="889">
        <v>-160095007</v>
      </c>
      <c r="D58" s="889">
        <f>+B58-C58</f>
        <v>528988324</v>
      </c>
      <c r="E58" s="556">
        <v>0</v>
      </c>
    </row>
    <row r="59" spans="1:5" ht="16.5" thickBot="1" x14ac:dyDescent="0.3">
      <c r="A59" s="896" t="s">
        <v>1152</v>
      </c>
      <c r="B59" s="895">
        <f>SUM(B57:B58)</f>
        <v>601693057</v>
      </c>
      <c r="C59" s="891">
        <f>SUM(C57:C58)</f>
        <v>232799740</v>
      </c>
      <c r="D59" s="895">
        <f>+B59-C59</f>
        <v>368893317</v>
      </c>
      <c r="E59" s="897">
        <f>+D59/C59</f>
        <v>1.5845950558192203</v>
      </c>
    </row>
    <row r="60" spans="1:5" x14ac:dyDescent="0.2">
      <c r="A60" s="833"/>
      <c r="B60" s="889"/>
      <c r="C60" s="889"/>
      <c r="D60" s="889"/>
      <c r="E60" s="556"/>
    </row>
    <row r="61" spans="1:5" ht="15.75" thickBot="1" x14ac:dyDescent="0.25">
      <c r="A61" s="833"/>
      <c r="B61" s="889"/>
      <c r="C61" s="889"/>
      <c r="D61" s="889"/>
      <c r="E61" s="556"/>
    </row>
    <row r="62" spans="1:5" ht="16.5" thickBot="1" x14ac:dyDescent="0.3">
      <c r="A62" s="896" t="s">
        <v>47</v>
      </c>
      <c r="B62" s="895">
        <f>+B8+B14+B20+B26+B38+B44+B49+B54+B59</f>
        <v>7206916486.9200001</v>
      </c>
      <c r="C62" s="895">
        <f>+C8+C14+C20+C26+C38+C44+C49+C54+C59</f>
        <v>6356056455.9200001</v>
      </c>
      <c r="D62" s="895">
        <f>+D8+D14+D20+D26+D38+D44+D59</f>
        <v>474061782</v>
      </c>
      <c r="E62" s="897">
        <f>+D62/C62</f>
        <v>7.4584262315426919E-2</v>
      </c>
    </row>
    <row r="63" spans="1:5" x14ac:dyDescent="0.2">
      <c r="A63" s="833"/>
      <c r="B63" s="833"/>
      <c r="C63" s="833"/>
      <c r="D63" s="889"/>
      <c r="E63" s="556"/>
    </row>
    <row r="64" spans="1:5" x14ac:dyDescent="0.2">
      <c r="A64" s="833"/>
      <c r="B64" s="833"/>
      <c r="C64" s="833"/>
      <c r="D64" s="889"/>
      <c r="E64" s="556"/>
    </row>
    <row r="65" spans="1:5" ht="15.75" x14ac:dyDescent="0.25">
      <c r="A65" s="833"/>
      <c r="B65" s="903"/>
      <c r="C65" s="903"/>
      <c r="D65" s="889"/>
      <c r="E65" s="556"/>
    </row>
    <row r="66" spans="1:5" x14ac:dyDescent="0.2">
      <c r="A66" s="4" t="s">
        <v>1091</v>
      </c>
      <c r="B66" s="904" t="s">
        <v>1171</v>
      </c>
      <c r="C66" s="1287" t="s">
        <v>1366</v>
      </c>
      <c r="D66" s="1287"/>
      <c r="E66" s="1287"/>
    </row>
    <row r="67" spans="1:5" x14ac:dyDescent="0.2">
      <c r="A67" s="4" t="s">
        <v>1092</v>
      </c>
      <c r="B67" s="905" t="s">
        <v>1287</v>
      </c>
      <c r="C67" s="1287" t="s">
        <v>1365</v>
      </c>
      <c r="D67" s="1287"/>
      <c r="E67" s="1287"/>
    </row>
    <row r="68" spans="1:5" x14ac:dyDescent="0.2">
      <c r="A68" s="4"/>
      <c r="B68" s="4"/>
      <c r="C68" s="1287" t="s">
        <v>1371</v>
      </c>
      <c r="D68" s="1287"/>
      <c r="E68" s="1287"/>
    </row>
    <row r="69" spans="1:5" x14ac:dyDescent="0.2">
      <c r="A69" s="906"/>
      <c r="B69" s="906"/>
      <c r="C69" s="1287" t="s">
        <v>1347</v>
      </c>
      <c r="D69" s="1287"/>
      <c r="E69" s="1287"/>
    </row>
    <row r="70" spans="1:5" x14ac:dyDescent="0.2">
      <c r="A70" s="906"/>
      <c r="B70" s="906"/>
      <c r="C70" s="906"/>
      <c r="D70" s="906"/>
      <c r="E70" s="906"/>
    </row>
  </sheetData>
  <sheetProtection algorithmName="SHA-512" hashValue="LiSItrimXPs9CSFRmUoh4RAOIgeisogVKSO88UxmpP4xdUoHQGSII7s5EPKZmiEyR4RL7vt7Ir3GUqr3Z6mxEA==" saltValue="OCa2klyMTm+N7s+l8H1npg==" spinCount="100000" sheet="1" objects="1" scenarios="1"/>
  <mergeCells count="8">
    <mergeCell ref="C68:E68"/>
    <mergeCell ref="C69:E69"/>
    <mergeCell ref="A1:E1"/>
    <mergeCell ref="A2:E2"/>
    <mergeCell ref="A3:E3"/>
    <mergeCell ref="C66:E66"/>
    <mergeCell ref="C67:E67"/>
    <mergeCell ref="A4:E4"/>
  </mergeCells>
  <pageMargins left="0.7" right="0.7" top="0.75" bottom="0.75" header="0.3" footer="0.3"/>
  <pageSetup scale="58" orientation="landscape" r:id="rId1"/>
  <headerFooter>
    <oddFooter>&amp;C&amp;P de1</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tabColor rgb="FF92D050"/>
  </sheetPr>
  <dimension ref="A1:L104"/>
  <sheetViews>
    <sheetView topLeftCell="C1" zoomScale="70" zoomScaleNormal="70" workbookViewId="0">
      <selection activeCell="G27" sqref="G27"/>
    </sheetView>
  </sheetViews>
  <sheetFormatPr baseColWidth="10" defaultRowHeight="15" x14ac:dyDescent="0.2"/>
  <cols>
    <col min="1" max="1" width="8.6640625" style="833" bestFit="1" customWidth="1"/>
    <col min="2" max="2" width="61" style="833" bestFit="1" customWidth="1"/>
    <col min="3" max="3" width="28.6640625" style="833" bestFit="1" customWidth="1"/>
    <col min="4" max="7" width="28.6640625" style="833" customWidth="1"/>
    <col min="8" max="8" width="28.33203125" style="795" customWidth="1"/>
    <col min="9" max="9" width="19.21875" style="833" bestFit="1" customWidth="1"/>
    <col min="10" max="10" width="0" style="833" hidden="1" customWidth="1"/>
    <col min="11" max="11" width="14.44140625" style="833" customWidth="1"/>
    <col min="12" max="13" width="15.88671875" style="833" bestFit="1" customWidth="1"/>
    <col min="14" max="258" width="11.5546875" style="833"/>
    <col min="259" max="259" width="4.109375" style="833" customWidth="1"/>
    <col min="260" max="260" width="37.21875" style="833" customWidth="1"/>
    <col min="261" max="261" width="24.44140625" style="833" customWidth="1"/>
    <col min="262" max="262" width="12.5546875" style="833" bestFit="1" customWidth="1"/>
    <col min="263" max="263" width="16.44140625" style="833" bestFit="1" customWidth="1"/>
    <col min="264" max="514" width="11.5546875" style="833"/>
    <col min="515" max="515" width="4.109375" style="833" customWidth="1"/>
    <col min="516" max="516" width="37.21875" style="833" customWidth="1"/>
    <col min="517" max="517" width="24.44140625" style="833" customWidth="1"/>
    <col min="518" max="518" width="12.5546875" style="833" bestFit="1" customWidth="1"/>
    <col min="519" max="519" width="16.44140625" style="833" bestFit="1" customWidth="1"/>
    <col min="520" max="770" width="11.5546875" style="833"/>
    <col min="771" max="771" width="4.109375" style="833" customWidth="1"/>
    <col min="772" max="772" width="37.21875" style="833" customWidth="1"/>
    <col min="773" max="773" width="24.44140625" style="833" customWidth="1"/>
    <col min="774" max="774" width="12.5546875" style="833" bestFit="1" customWidth="1"/>
    <col min="775" max="775" width="16.44140625" style="833" bestFit="1" customWidth="1"/>
    <col min="776" max="1026" width="11.5546875" style="833"/>
    <col min="1027" max="1027" width="4.109375" style="833" customWidth="1"/>
    <col min="1028" max="1028" width="37.21875" style="833" customWidth="1"/>
    <col min="1029" max="1029" width="24.44140625" style="833" customWidth="1"/>
    <col min="1030" max="1030" width="12.5546875" style="833" bestFit="1" customWidth="1"/>
    <col min="1031" max="1031" width="16.44140625" style="833" bestFit="1" customWidth="1"/>
    <col min="1032" max="1282" width="11.5546875" style="833"/>
    <col min="1283" max="1283" width="4.109375" style="833" customWidth="1"/>
    <col min="1284" max="1284" width="37.21875" style="833" customWidth="1"/>
    <col min="1285" max="1285" width="24.44140625" style="833" customWidth="1"/>
    <col min="1286" max="1286" width="12.5546875" style="833" bestFit="1" customWidth="1"/>
    <col min="1287" max="1287" width="16.44140625" style="833" bestFit="1" customWidth="1"/>
    <col min="1288" max="1538" width="11.5546875" style="833"/>
    <col min="1539" max="1539" width="4.109375" style="833" customWidth="1"/>
    <col min="1540" max="1540" width="37.21875" style="833" customWidth="1"/>
    <col min="1541" max="1541" width="24.44140625" style="833" customWidth="1"/>
    <col min="1542" max="1542" width="12.5546875" style="833" bestFit="1" customWidth="1"/>
    <col min="1543" max="1543" width="16.44140625" style="833" bestFit="1" customWidth="1"/>
    <col min="1544" max="1794" width="11.5546875" style="833"/>
    <col min="1795" max="1795" width="4.109375" style="833" customWidth="1"/>
    <col min="1796" max="1796" width="37.21875" style="833" customWidth="1"/>
    <col min="1797" max="1797" width="24.44140625" style="833" customWidth="1"/>
    <col min="1798" max="1798" width="12.5546875" style="833" bestFit="1" customWidth="1"/>
    <col min="1799" max="1799" width="16.44140625" style="833" bestFit="1" customWidth="1"/>
    <col min="1800" max="2050" width="11.5546875" style="833"/>
    <col min="2051" max="2051" width="4.109375" style="833" customWidth="1"/>
    <col min="2052" max="2052" width="37.21875" style="833" customWidth="1"/>
    <col min="2053" max="2053" width="24.44140625" style="833" customWidth="1"/>
    <col min="2054" max="2054" width="12.5546875" style="833" bestFit="1" customWidth="1"/>
    <col min="2055" max="2055" width="16.44140625" style="833" bestFit="1" customWidth="1"/>
    <col min="2056" max="2306" width="11.5546875" style="833"/>
    <col min="2307" max="2307" width="4.109375" style="833" customWidth="1"/>
    <col min="2308" max="2308" width="37.21875" style="833" customWidth="1"/>
    <col min="2309" max="2309" width="24.44140625" style="833" customWidth="1"/>
    <col min="2310" max="2310" width="12.5546875" style="833" bestFit="1" customWidth="1"/>
    <col min="2311" max="2311" width="16.44140625" style="833" bestFit="1" customWidth="1"/>
    <col min="2312" max="2562" width="11.5546875" style="833"/>
    <col min="2563" max="2563" width="4.109375" style="833" customWidth="1"/>
    <col min="2564" max="2564" width="37.21875" style="833" customWidth="1"/>
    <col min="2565" max="2565" width="24.44140625" style="833" customWidth="1"/>
    <col min="2566" max="2566" width="12.5546875" style="833" bestFit="1" customWidth="1"/>
    <col min="2567" max="2567" width="16.44140625" style="833" bestFit="1" customWidth="1"/>
    <col min="2568" max="2818" width="11.5546875" style="833"/>
    <col min="2819" max="2819" width="4.109375" style="833" customWidth="1"/>
    <col min="2820" max="2820" width="37.21875" style="833" customWidth="1"/>
    <col min="2821" max="2821" width="24.44140625" style="833" customWidth="1"/>
    <col min="2822" max="2822" width="12.5546875" style="833" bestFit="1" customWidth="1"/>
    <col min="2823" max="2823" width="16.44140625" style="833" bestFit="1" customWidth="1"/>
    <col min="2824" max="3074" width="11.5546875" style="833"/>
    <col min="3075" max="3075" width="4.109375" style="833" customWidth="1"/>
    <col min="3076" max="3076" width="37.21875" style="833" customWidth="1"/>
    <col min="3077" max="3077" width="24.44140625" style="833" customWidth="1"/>
    <col min="3078" max="3078" width="12.5546875" style="833" bestFit="1" customWidth="1"/>
    <col min="3079" max="3079" width="16.44140625" style="833" bestFit="1" customWidth="1"/>
    <col min="3080" max="3330" width="11.5546875" style="833"/>
    <col min="3331" max="3331" width="4.109375" style="833" customWidth="1"/>
    <col min="3332" max="3332" width="37.21875" style="833" customWidth="1"/>
    <col min="3333" max="3333" width="24.44140625" style="833" customWidth="1"/>
    <col min="3334" max="3334" width="12.5546875" style="833" bestFit="1" customWidth="1"/>
    <col min="3335" max="3335" width="16.44140625" style="833" bestFit="1" customWidth="1"/>
    <col min="3336" max="3586" width="11.5546875" style="833"/>
    <col min="3587" max="3587" width="4.109375" style="833" customWidth="1"/>
    <col min="3588" max="3588" width="37.21875" style="833" customWidth="1"/>
    <col min="3589" max="3589" width="24.44140625" style="833" customWidth="1"/>
    <col min="3590" max="3590" width="12.5546875" style="833" bestFit="1" customWidth="1"/>
    <col min="3591" max="3591" width="16.44140625" style="833" bestFit="1" customWidth="1"/>
    <col min="3592" max="3842" width="11.5546875" style="833"/>
    <col min="3843" max="3843" width="4.109375" style="833" customWidth="1"/>
    <col min="3844" max="3844" width="37.21875" style="833" customWidth="1"/>
    <col min="3845" max="3845" width="24.44140625" style="833" customWidth="1"/>
    <col min="3846" max="3846" width="12.5546875" style="833" bestFit="1" customWidth="1"/>
    <col min="3847" max="3847" width="16.44140625" style="833" bestFit="1" customWidth="1"/>
    <col min="3848" max="4098" width="11.5546875" style="833"/>
    <col min="4099" max="4099" width="4.109375" style="833" customWidth="1"/>
    <col min="4100" max="4100" width="37.21875" style="833" customWidth="1"/>
    <col min="4101" max="4101" width="24.44140625" style="833" customWidth="1"/>
    <col min="4102" max="4102" width="12.5546875" style="833" bestFit="1" customWidth="1"/>
    <col min="4103" max="4103" width="16.44140625" style="833" bestFit="1" customWidth="1"/>
    <col min="4104" max="4354" width="11.5546875" style="833"/>
    <col min="4355" max="4355" width="4.109375" style="833" customWidth="1"/>
    <col min="4356" max="4356" width="37.21875" style="833" customWidth="1"/>
    <col min="4357" max="4357" width="24.44140625" style="833" customWidth="1"/>
    <col min="4358" max="4358" width="12.5546875" style="833" bestFit="1" customWidth="1"/>
    <col min="4359" max="4359" width="16.44140625" style="833" bestFit="1" customWidth="1"/>
    <col min="4360" max="4610" width="11.5546875" style="833"/>
    <col min="4611" max="4611" width="4.109375" style="833" customWidth="1"/>
    <col min="4612" max="4612" width="37.21875" style="833" customWidth="1"/>
    <col min="4613" max="4613" width="24.44140625" style="833" customWidth="1"/>
    <col min="4614" max="4614" width="12.5546875" style="833" bestFit="1" customWidth="1"/>
    <col min="4615" max="4615" width="16.44140625" style="833" bestFit="1" customWidth="1"/>
    <col min="4616" max="4866" width="11.5546875" style="833"/>
    <col min="4867" max="4867" width="4.109375" style="833" customWidth="1"/>
    <col min="4868" max="4868" width="37.21875" style="833" customWidth="1"/>
    <col min="4869" max="4869" width="24.44140625" style="833" customWidth="1"/>
    <col min="4870" max="4870" width="12.5546875" style="833" bestFit="1" customWidth="1"/>
    <col min="4871" max="4871" width="16.44140625" style="833" bestFit="1" customWidth="1"/>
    <col min="4872" max="5122" width="11.5546875" style="833"/>
    <col min="5123" max="5123" width="4.109375" style="833" customWidth="1"/>
    <col min="5124" max="5124" width="37.21875" style="833" customWidth="1"/>
    <col min="5125" max="5125" width="24.44140625" style="833" customWidth="1"/>
    <col min="5126" max="5126" width="12.5546875" style="833" bestFit="1" customWidth="1"/>
    <col min="5127" max="5127" width="16.44140625" style="833" bestFit="1" customWidth="1"/>
    <col min="5128" max="5378" width="11.5546875" style="833"/>
    <col min="5379" max="5379" width="4.109375" style="833" customWidth="1"/>
    <col min="5380" max="5380" width="37.21875" style="833" customWidth="1"/>
    <col min="5381" max="5381" width="24.44140625" style="833" customWidth="1"/>
    <col min="5382" max="5382" width="12.5546875" style="833" bestFit="1" customWidth="1"/>
    <col min="5383" max="5383" width="16.44140625" style="833" bestFit="1" customWidth="1"/>
    <col min="5384" max="5634" width="11.5546875" style="833"/>
    <col min="5635" max="5635" width="4.109375" style="833" customWidth="1"/>
    <col min="5636" max="5636" width="37.21875" style="833" customWidth="1"/>
    <col min="5637" max="5637" width="24.44140625" style="833" customWidth="1"/>
    <col min="5638" max="5638" width="12.5546875" style="833" bestFit="1" customWidth="1"/>
    <col min="5639" max="5639" width="16.44140625" style="833" bestFit="1" customWidth="1"/>
    <col min="5640" max="5890" width="11.5546875" style="833"/>
    <col min="5891" max="5891" width="4.109375" style="833" customWidth="1"/>
    <col min="5892" max="5892" width="37.21875" style="833" customWidth="1"/>
    <col min="5893" max="5893" width="24.44140625" style="833" customWidth="1"/>
    <col min="5894" max="5894" width="12.5546875" style="833" bestFit="1" customWidth="1"/>
    <col min="5895" max="5895" width="16.44140625" style="833" bestFit="1" customWidth="1"/>
    <col min="5896" max="6146" width="11.5546875" style="833"/>
    <col min="6147" max="6147" width="4.109375" style="833" customWidth="1"/>
    <col min="6148" max="6148" width="37.21875" style="833" customWidth="1"/>
    <col min="6149" max="6149" width="24.44140625" style="833" customWidth="1"/>
    <col min="6150" max="6150" width="12.5546875" style="833" bestFit="1" customWidth="1"/>
    <col min="6151" max="6151" width="16.44140625" style="833" bestFit="1" customWidth="1"/>
    <col min="6152" max="6402" width="11.5546875" style="833"/>
    <col min="6403" max="6403" width="4.109375" style="833" customWidth="1"/>
    <col min="6404" max="6404" width="37.21875" style="833" customWidth="1"/>
    <col min="6405" max="6405" width="24.44140625" style="833" customWidth="1"/>
    <col min="6406" max="6406" width="12.5546875" style="833" bestFit="1" customWidth="1"/>
    <col min="6407" max="6407" width="16.44140625" style="833" bestFit="1" customWidth="1"/>
    <col min="6408" max="6658" width="11.5546875" style="833"/>
    <col min="6659" max="6659" width="4.109375" style="833" customWidth="1"/>
    <col min="6660" max="6660" width="37.21875" style="833" customWidth="1"/>
    <col min="6661" max="6661" width="24.44140625" style="833" customWidth="1"/>
    <col min="6662" max="6662" width="12.5546875" style="833" bestFit="1" customWidth="1"/>
    <col min="6663" max="6663" width="16.44140625" style="833" bestFit="1" customWidth="1"/>
    <col min="6664" max="6914" width="11.5546875" style="833"/>
    <col min="6915" max="6915" width="4.109375" style="833" customWidth="1"/>
    <col min="6916" max="6916" width="37.21875" style="833" customWidth="1"/>
    <col min="6917" max="6917" width="24.44140625" style="833" customWidth="1"/>
    <col min="6918" max="6918" width="12.5546875" style="833" bestFit="1" customWidth="1"/>
    <col min="6919" max="6919" width="16.44140625" style="833" bestFit="1" customWidth="1"/>
    <col min="6920" max="7170" width="11.5546875" style="833"/>
    <col min="7171" max="7171" width="4.109375" style="833" customWidth="1"/>
    <col min="7172" max="7172" width="37.21875" style="833" customWidth="1"/>
    <col min="7173" max="7173" width="24.44140625" style="833" customWidth="1"/>
    <col min="7174" max="7174" width="12.5546875" style="833" bestFit="1" customWidth="1"/>
    <col min="7175" max="7175" width="16.44140625" style="833" bestFit="1" customWidth="1"/>
    <col min="7176" max="7426" width="11.5546875" style="833"/>
    <col min="7427" max="7427" width="4.109375" style="833" customWidth="1"/>
    <col min="7428" max="7428" width="37.21875" style="833" customWidth="1"/>
    <col min="7429" max="7429" width="24.44140625" style="833" customWidth="1"/>
    <col min="7430" max="7430" width="12.5546875" style="833" bestFit="1" customWidth="1"/>
    <col min="7431" max="7431" width="16.44140625" style="833" bestFit="1" customWidth="1"/>
    <col min="7432" max="7682" width="11.5546875" style="833"/>
    <col min="7683" max="7683" width="4.109375" style="833" customWidth="1"/>
    <col min="7684" max="7684" width="37.21875" style="833" customWidth="1"/>
    <col min="7685" max="7685" width="24.44140625" style="833" customWidth="1"/>
    <col min="7686" max="7686" width="12.5546875" style="833" bestFit="1" customWidth="1"/>
    <col min="7687" max="7687" width="16.44140625" style="833" bestFit="1" customWidth="1"/>
    <col min="7688" max="7938" width="11.5546875" style="833"/>
    <col min="7939" max="7939" width="4.109375" style="833" customWidth="1"/>
    <col min="7940" max="7940" width="37.21875" style="833" customWidth="1"/>
    <col min="7941" max="7941" width="24.44140625" style="833" customWidth="1"/>
    <col min="7942" max="7942" width="12.5546875" style="833" bestFit="1" customWidth="1"/>
    <col min="7943" max="7943" width="16.44140625" style="833" bestFit="1" customWidth="1"/>
    <col min="7944" max="8194" width="11.5546875" style="833"/>
    <col min="8195" max="8195" width="4.109375" style="833" customWidth="1"/>
    <col min="8196" max="8196" width="37.21875" style="833" customWidth="1"/>
    <col min="8197" max="8197" width="24.44140625" style="833" customWidth="1"/>
    <col min="8198" max="8198" width="12.5546875" style="833" bestFit="1" customWidth="1"/>
    <col min="8199" max="8199" width="16.44140625" style="833" bestFit="1" customWidth="1"/>
    <col min="8200" max="8450" width="11.5546875" style="833"/>
    <col min="8451" max="8451" width="4.109375" style="833" customWidth="1"/>
    <col min="8452" max="8452" width="37.21875" style="833" customWidth="1"/>
    <col min="8453" max="8453" width="24.44140625" style="833" customWidth="1"/>
    <col min="8454" max="8454" width="12.5546875" style="833" bestFit="1" customWidth="1"/>
    <col min="8455" max="8455" width="16.44140625" style="833" bestFit="1" customWidth="1"/>
    <col min="8456" max="8706" width="11.5546875" style="833"/>
    <col min="8707" max="8707" width="4.109375" style="833" customWidth="1"/>
    <col min="8708" max="8708" width="37.21875" style="833" customWidth="1"/>
    <col min="8709" max="8709" width="24.44140625" style="833" customWidth="1"/>
    <col min="8710" max="8710" width="12.5546875" style="833" bestFit="1" customWidth="1"/>
    <col min="8711" max="8711" width="16.44140625" style="833" bestFit="1" customWidth="1"/>
    <col min="8712" max="8962" width="11.5546875" style="833"/>
    <col min="8963" max="8963" width="4.109375" style="833" customWidth="1"/>
    <col min="8964" max="8964" width="37.21875" style="833" customWidth="1"/>
    <col min="8965" max="8965" width="24.44140625" style="833" customWidth="1"/>
    <col min="8966" max="8966" width="12.5546875" style="833" bestFit="1" customWidth="1"/>
    <col min="8967" max="8967" width="16.44140625" style="833" bestFit="1" customWidth="1"/>
    <col min="8968" max="9218" width="11.5546875" style="833"/>
    <col min="9219" max="9219" width="4.109375" style="833" customWidth="1"/>
    <col min="9220" max="9220" width="37.21875" style="833" customWidth="1"/>
    <col min="9221" max="9221" width="24.44140625" style="833" customWidth="1"/>
    <col min="9222" max="9222" width="12.5546875" style="833" bestFit="1" customWidth="1"/>
    <col min="9223" max="9223" width="16.44140625" style="833" bestFit="1" customWidth="1"/>
    <col min="9224" max="9474" width="11.5546875" style="833"/>
    <col min="9475" max="9475" width="4.109375" style="833" customWidth="1"/>
    <col min="9476" max="9476" width="37.21875" style="833" customWidth="1"/>
    <col min="9477" max="9477" width="24.44140625" style="833" customWidth="1"/>
    <col min="9478" max="9478" width="12.5546875" style="833" bestFit="1" customWidth="1"/>
    <col min="9479" max="9479" width="16.44140625" style="833" bestFit="1" customWidth="1"/>
    <col min="9480" max="9730" width="11.5546875" style="833"/>
    <col min="9731" max="9731" width="4.109375" style="833" customWidth="1"/>
    <col min="9732" max="9732" width="37.21875" style="833" customWidth="1"/>
    <col min="9733" max="9733" width="24.44140625" style="833" customWidth="1"/>
    <col min="9734" max="9734" width="12.5546875" style="833" bestFit="1" customWidth="1"/>
    <col min="9735" max="9735" width="16.44140625" style="833" bestFit="1" customWidth="1"/>
    <col min="9736" max="9986" width="11.5546875" style="833"/>
    <col min="9987" max="9987" width="4.109375" style="833" customWidth="1"/>
    <col min="9988" max="9988" width="37.21875" style="833" customWidth="1"/>
    <col min="9989" max="9989" width="24.44140625" style="833" customWidth="1"/>
    <col min="9990" max="9990" width="12.5546875" style="833" bestFit="1" customWidth="1"/>
    <col min="9991" max="9991" width="16.44140625" style="833" bestFit="1" customWidth="1"/>
    <col min="9992" max="10242" width="11.5546875" style="833"/>
    <col min="10243" max="10243" width="4.109375" style="833" customWidth="1"/>
    <col min="10244" max="10244" width="37.21875" style="833" customWidth="1"/>
    <col min="10245" max="10245" width="24.44140625" style="833" customWidth="1"/>
    <col min="10246" max="10246" width="12.5546875" style="833" bestFit="1" customWidth="1"/>
    <col min="10247" max="10247" width="16.44140625" style="833" bestFit="1" customWidth="1"/>
    <col min="10248" max="10498" width="11.5546875" style="833"/>
    <col min="10499" max="10499" width="4.109375" style="833" customWidth="1"/>
    <col min="10500" max="10500" width="37.21875" style="833" customWidth="1"/>
    <col min="10501" max="10501" width="24.44140625" style="833" customWidth="1"/>
    <col min="10502" max="10502" width="12.5546875" style="833" bestFit="1" customWidth="1"/>
    <col min="10503" max="10503" width="16.44140625" style="833" bestFit="1" customWidth="1"/>
    <col min="10504" max="10754" width="11.5546875" style="833"/>
    <col min="10755" max="10755" width="4.109375" style="833" customWidth="1"/>
    <col min="10756" max="10756" width="37.21875" style="833" customWidth="1"/>
    <col min="10757" max="10757" width="24.44140625" style="833" customWidth="1"/>
    <col min="10758" max="10758" width="12.5546875" style="833" bestFit="1" customWidth="1"/>
    <col min="10759" max="10759" width="16.44140625" style="833" bestFit="1" customWidth="1"/>
    <col min="10760" max="11010" width="11.5546875" style="833"/>
    <col min="11011" max="11011" width="4.109375" style="833" customWidth="1"/>
    <col min="11012" max="11012" width="37.21875" style="833" customWidth="1"/>
    <col min="11013" max="11013" width="24.44140625" style="833" customWidth="1"/>
    <col min="11014" max="11014" width="12.5546875" style="833" bestFit="1" customWidth="1"/>
    <col min="11015" max="11015" width="16.44140625" style="833" bestFit="1" customWidth="1"/>
    <col min="11016" max="11266" width="11.5546875" style="833"/>
    <col min="11267" max="11267" width="4.109375" style="833" customWidth="1"/>
    <col min="11268" max="11268" width="37.21875" style="833" customWidth="1"/>
    <col min="11269" max="11269" width="24.44140625" style="833" customWidth="1"/>
    <col min="11270" max="11270" width="12.5546875" style="833" bestFit="1" customWidth="1"/>
    <col min="11271" max="11271" width="16.44140625" style="833" bestFit="1" customWidth="1"/>
    <col min="11272" max="11522" width="11.5546875" style="833"/>
    <col min="11523" max="11523" width="4.109375" style="833" customWidth="1"/>
    <col min="11524" max="11524" width="37.21875" style="833" customWidth="1"/>
    <col min="11525" max="11525" width="24.44140625" style="833" customWidth="1"/>
    <col min="11526" max="11526" width="12.5546875" style="833" bestFit="1" customWidth="1"/>
    <col min="11527" max="11527" width="16.44140625" style="833" bestFit="1" customWidth="1"/>
    <col min="11528" max="11778" width="11.5546875" style="833"/>
    <col min="11779" max="11779" width="4.109375" style="833" customWidth="1"/>
    <col min="11780" max="11780" width="37.21875" style="833" customWidth="1"/>
    <col min="11781" max="11781" width="24.44140625" style="833" customWidth="1"/>
    <col min="11782" max="11782" width="12.5546875" style="833" bestFit="1" customWidth="1"/>
    <col min="11783" max="11783" width="16.44140625" style="833" bestFit="1" customWidth="1"/>
    <col min="11784" max="12034" width="11.5546875" style="833"/>
    <col min="12035" max="12035" width="4.109375" style="833" customWidth="1"/>
    <col min="12036" max="12036" width="37.21875" style="833" customWidth="1"/>
    <col min="12037" max="12037" width="24.44140625" style="833" customWidth="1"/>
    <col min="12038" max="12038" width="12.5546875" style="833" bestFit="1" customWidth="1"/>
    <col min="12039" max="12039" width="16.44140625" style="833" bestFit="1" customWidth="1"/>
    <col min="12040" max="12290" width="11.5546875" style="833"/>
    <col min="12291" max="12291" width="4.109375" style="833" customWidth="1"/>
    <col min="12292" max="12292" width="37.21875" style="833" customWidth="1"/>
    <col min="12293" max="12293" width="24.44140625" style="833" customWidth="1"/>
    <col min="12294" max="12294" width="12.5546875" style="833" bestFit="1" customWidth="1"/>
    <col min="12295" max="12295" width="16.44140625" style="833" bestFit="1" customWidth="1"/>
    <col min="12296" max="12546" width="11.5546875" style="833"/>
    <col min="12547" max="12547" width="4.109375" style="833" customWidth="1"/>
    <col min="12548" max="12548" width="37.21875" style="833" customWidth="1"/>
    <col min="12549" max="12549" width="24.44140625" style="833" customWidth="1"/>
    <col min="12550" max="12550" width="12.5546875" style="833" bestFit="1" customWidth="1"/>
    <col min="12551" max="12551" width="16.44140625" style="833" bestFit="1" customWidth="1"/>
    <col min="12552" max="12802" width="11.5546875" style="833"/>
    <col min="12803" max="12803" width="4.109375" style="833" customWidth="1"/>
    <col min="12804" max="12804" width="37.21875" style="833" customWidth="1"/>
    <col min="12805" max="12805" width="24.44140625" style="833" customWidth="1"/>
    <col min="12806" max="12806" width="12.5546875" style="833" bestFit="1" customWidth="1"/>
    <col min="12807" max="12807" width="16.44140625" style="833" bestFit="1" customWidth="1"/>
    <col min="12808" max="13058" width="11.5546875" style="833"/>
    <col min="13059" max="13059" width="4.109375" style="833" customWidth="1"/>
    <col min="13060" max="13060" width="37.21875" style="833" customWidth="1"/>
    <col min="13061" max="13061" width="24.44140625" style="833" customWidth="1"/>
    <col min="13062" max="13062" width="12.5546875" style="833" bestFit="1" customWidth="1"/>
    <col min="13063" max="13063" width="16.44140625" style="833" bestFit="1" customWidth="1"/>
    <col min="13064" max="13314" width="11.5546875" style="833"/>
    <col min="13315" max="13315" width="4.109375" style="833" customWidth="1"/>
    <col min="13316" max="13316" width="37.21875" style="833" customWidth="1"/>
    <col min="13317" max="13317" width="24.44140625" style="833" customWidth="1"/>
    <col min="13318" max="13318" width="12.5546875" style="833" bestFit="1" customWidth="1"/>
    <col min="13319" max="13319" width="16.44140625" style="833" bestFit="1" customWidth="1"/>
    <col min="13320" max="13570" width="11.5546875" style="833"/>
    <col min="13571" max="13571" width="4.109375" style="833" customWidth="1"/>
    <col min="13572" max="13572" width="37.21875" style="833" customWidth="1"/>
    <col min="13573" max="13573" width="24.44140625" style="833" customWidth="1"/>
    <col min="13574" max="13574" width="12.5546875" style="833" bestFit="1" customWidth="1"/>
    <col min="13575" max="13575" width="16.44140625" style="833" bestFit="1" customWidth="1"/>
    <col min="13576" max="13826" width="11.5546875" style="833"/>
    <col min="13827" max="13827" width="4.109375" style="833" customWidth="1"/>
    <col min="13828" max="13828" width="37.21875" style="833" customWidth="1"/>
    <col min="13829" max="13829" width="24.44140625" style="833" customWidth="1"/>
    <col min="13830" max="13830" width="12.5546875" style="833" bestFit="1" customWidth="1"/>
    <col min="13831" max="13831" width="16.44140625" style="833" bestFit="1" customWidth="1"/>
    <col min="13832" max="14082" width="11.5546875" style="833"/>
    <col min="14083" max="14083" width="4.109375" style="833" customWidth="1"/>
    <col min="14084" max="14084" width="37.21875" style="833" customWidth="1"/>
    <col min="14085" max="14085" width="24.44140625" style="833" customWidth="1"/>
    <col min="14086" max="14086" width="12.5546875" style="833" bestFit="1" customWidth="1"/>
    <col min="14087" max="14087" width="16.44140625" style="833" bestFit="1" customWidth="1"/>
    <col min="14088" max="14338" width="11.5546875" style="833"/>
    <col min="14339" max="14339" width="4.109375" style="833" customWidth="1"/>
    <col min="14340" max="14340" width="37.21875" style="833" customWidth="1"/>
    <col min="14341" max="14341" width="24.44140625" style="833" customWidth="1"/>
    <col min="14342" max="14342" width="12.5546875" style="833" bestFit="1" customWidth="1"/>
    <col min="14343" max="14343" width="16.44140625" style="833" bestFit="1" customWidth="1"/>
    <col min="14344" max="14594" width="11.5546875" style="833"/>
    <col min="14595" max="14595" width="4.109375" style="833" customWidth="1"/>
    <col min="14596" max="14596" width="37.21875" style="833" customWidth="1"/>
    <col min="14597" max="14597" width="24.44140625" style="833" customWidth="1"/>
    <col min="14598" max="14598" width="12.5546875" style="833" bestFit="1" customWidth="1"/>
    <col min="14599" max="14599" width="16.44140625" style="833" bestFit="1" customWidth="1"/>
    <col min="14600" max="14850" width="11.5546875" style="833"/>
    <col min="14851" max="14851" width="4.109375" style="833" customWidth="1"/>
    <col min="14852" max="14852" width="37.21875" style="833" customWidth="1"/>
    <col min="14853" max="14853" width="24.44140625" style="833" customWidth="1"/>
    <col min="14854" max="14854" width="12.5546875" style="833" bestFit="1" customWidth="1"/>
    <col min="14855" max="14855" width="16.44140625" style="833" bestFit="1" customWidth="1"/>
    <col min="14856" max="15106" width="11.5546875" style="833"/>
    <col min="15107" max="15107" width="4.109375" style="833" customWidth="1"/>
    <col min="15108" max="15108" width="37.21875" style="833" customWidth="1"/>
    <col min="15109" max="15109" width="24.44140625" style="833" customWidth="1"/>
    <col min="15110" max="15110" width="12.5546875" style="833" bestFit="1" customWidth="1"/>
    <col min="15111" max="15111" width="16.44140625" style="833" bestFit="1" customWidth="1"/>
    <col min="15112" max="15362" width="11.5546875" style="833"/>
    <col min="15363" max="15363" width="4.109375" style="833" customWidth="1"/>
    <col min="15364" max="15364" width="37.21875" style="833" customWidth="1"/>
    <col min="15365" max="15365" width="24.44140625" style="833" customWidth="1"/>
    <col min="15366" max="15366" width="12.5546875" style="833" bestFit="1" customWidth="1"/>
    <col min="15367" max="15367" width="16.44140625" style="833" bestFit="1" customWidth="1"/>
    <col min="15368" max="15618" width="11.5546875" style="833"/>
    <col min="15619" max="15619" width="4.109375" style="833" customWidth="1"/>
    <col min="15620" max="15620" width="37.21875" style="833" customWidth="1"/>
    <col min="15621" max="15621" width="24.44140625" style="833" customWidth="1"/>
    <col min="15622" max="15622" width="12.5546875" style="833" bestFit="1" customWidth="1"/>
    <col min="15623" max="15623" width="16.44140625" style="833" bestFit="1" customWidth="1"/>
    <col min="15624" max="15874" width="11.5546875" style="833"/>
    <col min="15875" max="15875" width="4.109375" style="833" customWidth="1"/>
    <col min="15876" max="15876" width="37.21875" style="833" customWidth="1"/>
    <col min="15877" max="15877" width="24.44140625" style="833" customWidth="1"/>
    <col min="15878" max="15878" width="12.5546875" style="833" bestFit="1" customWidth="1"/>
    <col min="15879" max="15879" width="16.44140625" style="833" bestFit="1" customWidth="1"/>
    <col min="15880" max="16130" width="11.5546875" style="833"/>
    <col min="16131" max="16131" width="4.109375" style="833" customWidth="1"/>
    <col min="16132" max="16132" width="37.21875" style="833" customWidth="1"/>
    <col min="16133" max="16133" width="24.44140625" style="833" customWidth="1"/>
    <col min="16134" max="16134" width="12.5546875" style="833" bestFit="1" customWidth="1"/>
    <col min="16135" max="16135" width="16.44140625" style="833" bestFit="1" customWidth="1"/>
    <col min="16136" max="16384" width="11.5546875" style="833"/>
  </cols>
  <sheetData>
    <row r="1" spans="1:10" ht="15.75" x14ac:dyDescent="0.25">
      <c r="A1" s="1288" t="s">
        <v>1264</v>
      </c>
      <c r="B1" s="1289"/>
      <c r="C1" s="1289"/>
      <c r="D1" s="1289"/>
      <c r="E1" s="1289"/>
      <c r="F1" s="1289"/>
      <c r="G1" s="1289"/>
      <c r="H1" s="1289"/>
      <c r="I1" s="1289"/>
      <c r="J1" s="1290"/>
    </row>
    <row r="2" spans="1:10" ht="15.75" x14ac:dyDescent="0.25">
      <c r="A2" s="1291" t="s">
        <v>1213</v>
      </c>
      <c r="B2" s="1292"/>
      <c r="C2" s="1292"/>
      <c r="D2" s="1292"/>
      <c r="E2" s="1292"/>
      <c r="F2" s="1292"/>
      <c r="G2" s="1292"/>
      <c r="H2" s="1292"/>
      <c r="I2" s="1292"/>
      <c r="J2" s="1293"/>
    </row>
    <row r="3" spans="1:10" ht="16.5" thickBot="1" x14ac:dyDescent="0.3">
      <c r="A3" s="1300" t="s">
        <v>1535</v>
      </c>
      <c r="B3" s="1301"/>
      <c r="C3" s="1301"/>
      <c r="D3" s="1301"/>
      <c r="E3" s="1301"/>
      <c r="F3" s="1301"/>
      <c r="G3" s="1301"/>
      <c r="H3" s="1301"/>
      <c r="I3" s="1301"/>
      <c r="J3" s="834"/>
    </row>
    <row r="4" spans="1:10" ht="16.5" thickBot="1" x14ac:dyDescent="0.3">
      <c r="A4" s="1302" t="s">
        <v>1368</v>
      </c>
      <c r="B4" s="1303"/>
      <c r="C4" s="1303"/>
      <c r="D4" s="1303"/>
      <c r="E4" s="1303"/>
      <c r="F4" s="1303"/>
      <c r="G4" s="1303"/>
      <c r="H4" s="1303"/>
      <c r="I4" s="1304"/>
      <c r="J4" s="834"/>
    </row>
    <row r="5" spans="1:10" ht="16.5" thickBot="1" x14ac:dyDescent="0.3">
      <c r="A5" s="1296" t="s">
        <v>1210</v>
      </c>
      <c r="B5" s="1297"/>
      <c r="C5" s="841" t="s">
        <v>1538</v>
      </c>
      <c r="D5" s="1000" t="s">
        <v>1539</v>
      </c>
      <c r="E5" s="1000" t="s">
        <v>1420</v>
      </c>
      <c r="F5" s="1000" t="s">
        <v>1421</v>
      </c>
      <c r="G5" s="841" t="s">
        <v>1537</v>
      </c>
      <c r="H5" s="1118" t="s">
        <v>1509</v>
      </c>
      <c r="I5" s="842" t="s">
        <v>1063</v>
      </c>
      <c r="J5" s="843" t="s">
        <v>1064</v>
      </c>
    </row>
    <row r="6" spans="1:10" ht="15" customHeight="1" thickBot="1" x14ac:dyDescent="0.3">
      <c r="A6" s="844"/>
      <c r="B6" s="845"/>
      <c r="C6" s="834"/>
      <c r="H6" s="1068"/>
      <c r="I6" s="835"/>
      <c r="J6" s="834"/>
    </row>
    <row r="7" spans="1:10" ht="15" customHeight="1" thickBot="1" x14ac:dyDescent="0.3">
      <c r="A7" s="1298" t="s">
        <v>370</v>
      </c>
      <c r="B7" s="1299"/>
      <c r="C7" s="846">
        <f>+C9+C14+C20+C31+C36+C39</f>
        <v>45953719091.32</v>
      </c>
      <c r="D7" s="1001">
        <f>+D9+D14+D20+D31+D36+D39-1</f>
        <v>3608010909.75</v>
      </c>
      <c r="E7" s="1001">
        <f>+E9+E14+E20+E31+E36+E39-1</f>
        <v>-1309903823</v>
      </c>
      <c r="F7" s="1001">
        <f>+F9+F14+F20+F31+F36+F39</f>
        <v>479166667</v>
      </c>
      <c r="G7" s="846">
        <f>+G9+G14+G20+G31+G36+G39</f>
        <v>47772659512.069992</v>
      </c>
      <c r="H7" s="846">
        <f>+H9+H14+H20+H31+H36+H39</f>
        <v>47205465436.32</v>
      </c>
      <c r="I7" s="846">
        <f>+G7-H7</f>
        <v>567194075.74999237</v>
      </c>
      <c r="J7" s="847">
        <f>+I7/H7</f>
        <v>1.2015432334104089E-2</v>
      </c>
    </row>
    <row r="8" spans="1:10" ht="15" customHeight="1" x14ac:dyDescent="0.25">
      <c r="A8" s="839"/>
      <c r="B8" s="840"/>
      <c r="C8" s="848"/>
      <c r="D8" s="996"/>
      <c r="E8" s="996"/>
      <c r="F8" s="996"/>
      <c r="G8" s="996"/>
      <c r="H8" s="1069"/>
      <c r="I8" s="836"/>
      <c r="J8" s="837"/>
    </row>
    <row r="9" spans="1:10" ht="16.5" thickBot="1" x14ac:dyDescent="0.3">
      <c r="A9" s="849">
        <v>1100</v>
      </c>
      <c r="B9" s="850" t="s">
        <v>1176</v>
      </c>
      <c r="C9" s="851">
        <f>SUM(C10:C12)</f>
        <v>4900338784.0500002</v>
      </c>
      <c r="D9" s="851">
        <f>SUM(D10:D12)</f>
        <v>339433661.39999998</v>
      </c>
      <c r="E9" s="851"/>
      <c r="F9" s="851"/>
      <c r="G9" s="851">
        <f>SUM(G10:G12)</f>
        <v>5239772445.4499998</v>
      </c>
      <c r="H9" s="852">
        <f>SUM(H10:H12)</f>
        <v>6008167911.0500002</v>
      </c>
      <c r="I9" s="852">
        <f>+G9-H9</f>
        <v>-768395465.60000038</v>
      </c>
      <c r="J9" s="853">
        <f>+H9/I9</f>
        <v>-7.8191090135579238</v>
      </c>
    </row>
    <row r="10" spans="1:10" ht="15.75" thickTop="1" x14ac:dyDescent="0.2">
      <c r="A10" s="854">
        <v>1110</v>
      </c>
      <c r="B10" s="855" t="s">
        <v>1177</v>
      </c>
      <c r="C10" s="856">
        <f>+'ESTADO SIT FINANCIERA 24-23'!D6</f>
        <v>2860235506.27</v>
      </c>
      <c r="D10" s="997">
        <v>2717102.4499999997</v>
      </c>
      <c r="E10" s="997"/>
      <c r="F10" s="997"/>
      <c r="G10" s="997">
        <f>+C10+D10</f>
        <v>2862952608.7199998</v>
      </c>
      <c r="H10" s="857">
        <v>3595640249.27</v>
      </c>
      <c r="I10" s="857">
        <f>+G10-H10</f>
        <v>-732687640.55000019</v>
      </c>
      <c r="J10" s="858">
        <f t="shared" ref="J10:J73" si="0">+H10/I10</f>
        <v>-4.9074667706567183</v>
      </c>
    </row>
    <row r="11" spans="1:10" x14ac:dyDescent="0.2">
      <c r="A11" s="854">
        <v>1115</v>
      </c>
      <c r="B11" s="855" t="s">
        <v>1178</v>
      </c>
      <c r="C11" s="856">
        <f>+'ESTADO SIT FINANCIERA 24-23'!D7</f>
        <v>62720042.780000001</v>
      </c>
      <c r="D11" s="997">
        <v>0</v>
      </c>
      <c r="E11" s="997"/>
      <c r="F11" s="997"/>
      <c r="G11" s="997">
        <f t="shared" ref="G11:G12" si="1">+C11+D11</f>
        <v>62720042.780000001</v>
      </c>
      <c r="H11" s="857">
        <v>67720042.780000001</v>
      </c>
      <c r="I11" s="857">
        <f t="shared" ref="I11:I12" si="2">+G11-H11</f>
        <v>-5000000</v>
      </c>
      <c r="J11" s="858">
        <f t="shared" si="0"/>
        <v>-13.544008556</v>
      </c>
    </row>
    <row r="12" spans="1:10" x14ac:dyDescent="0.2">
      <c r="A12" s="854">
        <v>1120</v>
      </c>
      <c r="B12" s="855" t="s">
        <v>1179</v>
      </c>
      <c r="C12" s="856">
        <f>+'ESTADO SIT FINANCIERA 24-23'!D8</f>
        <v>1977383235</v>
      </c>
      <c r="D12" s="997">
        <v>336716558.94999999</v>
      </c>
      <c r="E12" s="997"/>
      <c r="F12" s="997"/>
      <c r="G12" s="997">
        <f t="shared" si="1"/>
        <v>2314099793.9499998</v>
      </c>
      <c r="H12" s="857">
        <v>2344807619</v>
      </c>
      <c r="I12" s="857">
        <f t="shared" si="2"/>
        <v>-30707825.050000191</v>
      </c>
      <c r="J12" s="858">
        <f t="shared" si="0"/>
        <v>-76.358635467736761</v>
      </c>
    </row>
    <row r="13" spans="1:10" x14ac:dyDescent="0.2">
      <c r="A13" s="854"/>
      <c r="B13" s="855"/>
      <c r="C13" s="856"/>
      <c r="D13" s="997"/>
      <c r="E13" s="997"/>
      <c r="F13" s="997"/>
      <c r="G13" s="997"/>
      <c r="H13" s="857"/>
      <c r="I13" s="834"/>
      <c r="J13" s="834"/>
    </row>
    <row r="14" spans="1:10" ht="16.5" thickBot="1" x14ac:dyDescent="0.3">
      <c r="A14" s="849">
        <v>1200</v>
      </c>
      <c r="B14" s="850" t="s">
        <v>28</v>
      </c>
      <c r="C14" s="851">
        <f>SUM(C15:C18)</f>
        <v>1366366074</v>
      </c>
      <c r="D14" s="851">
        <f>SUM(D15:D18)</f>
        <v>0</v>
      </c>
      <c r="E14" s="851">
        <f>SUM(E15:E18)</f>
        <v>-1309903822</v>
      </c>
      <c r="F14" s="851"/>
      <c r="G14" s="851">
        <f>SUM(G15:G18)</f>
        <v>56462252</v>
      </c>
      <c r="H14" s="852">
        <f>SUM(H15:H18)</f>
        <v>56462252</v>
      </c>
      <c r="I14" s="852">
        <f>+G14-H14</f>
        <v>0</v>
      </c>
      <c r="J14" s="853" t="e">
        <f t="shared" si="0"/>
        <v>#DIV/0!</v>
      </c>
    </row>
    <row r="15" spans="1:10" ht="15.75" thickTop="1" x14ac:dyDescent="0.2">
      <c r="A15" s="854">
        <v>1218</v>
      </c>
      <c r="B15" s="886" t="str">
        <f>+'ESTADO SIT FINANCIERA 24-23'!B20</f>
        <v>INVERSIONES EN INSTRUMENTO FINANCIERO</v>
      </c>
      <c r="C15" s="856">
        <f>+'ESTADO SIT FINANCIERA 24-23'!D20</f>
        <v>0</v>
      </c>
      <c r="D15" s="997">
        <v>0</v>
      </c>
      <c r="E15" s="997"/>
      <c r="F15" s="997"/>
      <c r="G15" s="997">
        <f>SUM(C15:D15)</f>
        <v>0</v>
      </c>
      <c r="H15" s="857">
        <v>0</v>
      </c>
      <c r="I15" s="857">
        <f>+G15-H15</f>
        <v>0</v>
      </c>
      <c r="J15" s="858" t="e">
        <f t="shared" si="0"/>
        <v>#DIV/0!</v>
      </c>
    </row>
    <row r="16" spans="1:10" x14ac:dyDescent="0.2">
      <c r="A16" s="854">
        <v>1218</v>
      </c>
      <c r="B16" s="886" t="str">
        <f>+'ESTADO SIT FINANCIERA 24-23'!B21</f>
        <v>INVERSIONES METODO DE PARTICIPACION PATRIMONIAL</v>
      </c>
      <c r="C16" s="856">
        <f>+'ESTADO SIT FINANCIERA 24-23'!D21</f>
        <v>1309903822</v>
      </c>
      <c r="D16" s="997">
        <v>0</v>
      </c>
      <c r="E16" s="997">
        <f>+(-C16)</f>
        <v>-1309903822</v>
      </c>
      <c r="F16" s="997"/>
      <c r="G16" s="997">
        <f>SUM(C16:E16)</f>
        <v>0</v>
      </c>
      <c r="H16" s="857">
        <v>0</v>
      </c>
      <c r="I16" s="857">
        <f t="shared" ref="I16:I18" si="3">+G16-H16</f>
        <v>0</v>
      </c>
      <c r="J16" s="858" t="e">
        <f t="shared" si="0"/>
        <v>#DIV/0!</v>
      </c>
    </row>
    <row r="17" spans="1:10" x14ac:dyDescent="0.2">
      <c r="A17" s="854">
        <v>1220</v>
      </c>
      <c r="B17" s="855" t="s">
        <v>1181</v>
      </c>
      <c r="C17" s="856">
        <v>0</v>
      </c>
      <c r="D17" s="997">
        <v>0</v>
      </c>
      <c r="E17" s="997"/>
      <c r="F17" s="997"/>
      <c r="G17" s="997">
        <f t="shared" ref="G17:G18" si="4">SUM(C17:D17)</f>
        <v>0</v>
      </c>
      <c r="H17" s="857">
        <v>0</v>
      </c>
      <c r="I17" s="857">
        <f t="shared" si="3"/>
        <v>0</v>
      </c>
      <c r="J17" s="858">
        <v>0</v>
      </c>
    </row>
    <row r="18" spans="1:10" x14ac:dyDescent="0.2">
      <c r="A18" s="854">
        <v>1226</v>
      </c>
      <c r="B18" s="855" t="s">
        <v>1182</v>
      </c>
      <c r="C18" s="856">
        <f>+'ESTADO SIT FINANCIERA 24-23'!D22</f>
        <v>56462252</v>
      </c>
      <c r="D18" s="997">
        <v>0</v>
      </c>
      <c r="E18" s="997"/>
      <c r="F18" s="997"/>
      <c r="G18" s="997">
        <f t="shared" si="4"/>
        <v>56462252</v>
      </c>
      <c r="H18" s="857">
        <v>56462252</v>
      </c>
      <c r="I18" s="857">
        <f t="shared" si="3"/>
        <v>0</v>
      </c>
      <c r="J18" s="858" t="e">
        <f t="shared" si="0"/>
        <v>#DIV/0!</v>
      </c>
    </row>
    <row r="19" spans="1:10" x14ac:dyDescent="0.2">
      <c r="A19" s="854"/>
      <c r="B19" s="855"/>
      <c r="C19" s="859"/>
      <c r="D19" s="857"/>
      <c r="E19" s="857"/>
      <c r="F19" s="857"/>
      <c r="G19" s="857"/>
      <c r="H19" s="857"/>
      <c r="I19" s="834"/>
      <c r="J19" s="858"/>
    </row>
    <row r="20" spans="1:10" ht="16.5" thickBot="1" x14ac:dyDescent="0.3">
      <c r="A20" s="849">
        <v>1400</v>
      </c>
      <c r="B20" s="850" t="s">
        <v>1183</v>
      </c>
      <c r="C20" s="852">
        <f t="shared" ref="C20:H20" si="5">SUM(C21:C29)</f>
        <v>37497215076.5</v>
      </c>
      <c r="D20" s="852">
        <f t="shared" si="5"/>
        <v>1590784935</v>
      </c>
      <c r="E20" s="852">
        <f t="shared" si="5"/>
        <v>0</v>
      </c>
      <c r="F20" s="852">
        <f t="shared" si="5"/>
        <v>0</v>
      </c>
      <c r="G20" s="852">
        <f t="shared" si="5"/>
        <v>39088000011.5</v>
      </c>
      <c r="H20" s="852">
        <f t="shared" si="5"/>
        <v>39315464748.5</v>
      </c>
      <c r="I20" s="852">
        <f>+G20-H20</f>
        <v>-227464737</v>
      </c>
      <c r="J20" s="853">
        <f t="shared" si="0"/>
        <v>-172.84202055679515</v>
      </c>
    </row>
    <row r="21" spans="1:10" ht="15.75" thickTop="1" x14ac:dyDescent="0.2">
      <c r="A21" s="854">
        <v>1411</v>
      </c>
      <c r="B21" s="855" t="s">
        <v>1219</v>
      </c>
      <c r="C21" s="856">
        <f>+'BALANCE AÑO ANTERIOR'!D20</f>
        <v>0</v>
      </c>
      <c r="D21" s="997">
        <v>0</v>
      </c>
      <c r="E21" s="997"/>
      <c r="F21" s="997"/>
      <c r="G21" s="997">
        <f>SUM(C21:D21)</f>
        <v>0</v>
      </c>
      <c r="H21" s="857"/>
      <c r="I21" s="857">
        <f>+G21-H21</f>
        <v>0</v>
      </c>
      <c r="J21" s="858" t="e">
        <f t="shared" si="0"/>
        <v>#DIV/0!</v>
      </c>
    </row>
    <row r="22" spans="1:10" x14ac:dyDescent="0.2">
      <c r="A22" s="854">
        <v>1441</v>
      </c>
      <c r="B22" s="855" t="s">
        <v>1218</v>
      </c>
      <c r="C22" s="856">
        <f>+'BALANCE AÑO ANTERIOR'!D21</f>
        <v>33618798977.5</v>
      </c>
      <c r="D22" s="997">
        <v>0</v>
      </c>
      <c r="E22" s="997"/>
      <c r="F22" s="997"/>
      <c r="G22" s="997">
        <f t="shared" ref="G22:G28" si="6">SUM(C22:D22)</f>
        <v>33618798977.5</v>
      </c>
      <c r="H22" s="857">
        <v>33618798977.5</v>
      </c>
      <c r="I22" s="857">
        <f t="shared" ref="I22:I29" si="7">+G22-H22</f>
        <v>0</v>
      </c>
      <c r="J22" s="858" t="e">
        <f t="shared" si="0"/>
        <v>#DIV/0!</v>
      </c>
    </row>
    <row r="23" spans="1:10" x14ac:dyDescent="0.2">
      <c r="A23" s="854">
        <v>1442</v>
      </c>
      <c r="B23" s="855" t="s">
        <v>1220</v>
      </c>
      <c r="C23" s="856">
        <f>+'BALANCE AÑO ANTERIOR'!D28</f>
        <v>4204674868</v>
      </c>
      <c r="D23" s="997">
        <v>0</v>
      </c>
      <c r="E23" s="997"/>
      <c r="F23" s="997"/>
      <c r="G23" s="997">
        <f t="shared" si="6"/>
        <v>4204674868</v>
      </c>
      <c r="H23" s="857">
        <v>4204674868</v>
      </c>
      <c r="I23" s="857">
        <f t="shared" si="7"/>
        <v>0</v>
      </c>
      <c r="J23" s="858" t="e">
        <f t="shared" si="0"/>
        <v>#DIV/0!</v>
      </c>
    </row>
    <row r="24" spans="1:10" x14ac:dyDescent="0.2">
      <c r="A24" s="854">
        <v>1443</v>
      </c>
      <c r="B24" s="855" t="s">
        <v>51</v>
      </c>
      <c r="C24" s="856">
        <f>+LINIX!C95</f>
        <v>137626953</v>
      </c>
      <c r="D24" s="997">
        <v>0</v>
      </c>
      <c r="E24" s="997"/>
      <c r="F24" s="997"/>
      <c r="G24" s="997">
        <f t="shared" si="6"/>
        <v>137626953</v>
      </c>
      <c r="H24" s="857">
        <v>137626953</v>
      </c>
      <c r="I24" s="857">
        <f t="shared" si="7"/>
        <v>0</v>
      </c>
      <c r="J24" s="858" t="e">
        <f t="shared" si="0"/>
        <v>#DIV/0!</v>
      </c>
    </row>
    <row r="25" spans="1:10" x14ac:dyDescent="0.2">
      <c r="A25" s="854">
        <v>1445</v>
      </c>
      <c r="B25" s="855" t="s">
        <v>1184</v>
      </c>
      <c r="C25" s="860">
        <f>+'BALANCE AÑO ANTERIOR'!D29</f>
        <v>-943431803</v>
      </c>
      <c r="D25" s="997">
        <v>0</v>
      </c>
      <c r="E25" s="997"/>
      <c r="F25" s="997"/>
      <c r="G25" s="861">
        <f t="shared" si="6"/>
        <v>-943431803</v>
      </c>
      <c r="H25" s="861">
        <v>-943431803</v>
      </c>
      <c r="I25" s="857">
        <f t="shared" si="7"/>
        <v>0</v>
      </c>
      <c r="J25" s="858" t="e">
        <f t="shared" si="0"/>
        <v>#DIV/0!</v>
      </c>
    </row>
    <row r="26" spans="1:10" x14ac:dyDescent="0.2">
      <c r="A26" s="854">
        <v>1446</v>
      </c>
      <c r="B26" s="855" t="s">
        <v>1185</v>
      </c>
      <c r="C26" s="860">
        <f>+'BALANCE AÑO ANTERIOR'!D38</f>
        <v>-61049750</v>
      </c>
      <c r="D26" s="997">
        <v>0</v>
      </c>
      <c r="E26" s="997"/>
      <c r="F26" s="997"/>
      <c r="G26" s="861">
        <f t="shared" si="6"/>
        <v>-61049750</v>
      </c>
      <c r="H26" s="861">
        <v>-61049750</v>
      </c>
      <c r="I26" s="857">
        <f t="shared" si="7"/>
        <v>0</v>
      </c>
      <c r="J26" s="858" t="e">
        <f t="shared" si="0"/>
        <v>#DIV/0!</v>
      </c>
    </row>
    <row r="27" spans="1:10" x14ac:dyDescent="0.2">
      <c r="A27" s="854">
        <v>1468</v>
      </c>
      <c r="B27" s="855" t="s">
        <v>1186</v>
      </c>
      <c r="C27" s="860">
        <f>+'BALANCE AÑO ANTERIOR'!D30</f>
        <v>-387507066</v>
      </c>
      <c r="D27" s="997">
        <v>0</v>
      </c>
      <c r="E27" s="997"/>
      <c r="F27" s="997"/>
      <c r="G27" s="861">
        <f t="shared" si="6"/>
        <v>-387507066</v>
      </c>
      <c r="H27" s="861">
        <v>-387507066</v>
      </c>
      <c r="I27" s="857">
        <f t="shared" si="7"/>
        <v>0</v>
      </c>
      <c r="J27" s="858" t="e">
        <f t="shared" si="0"/>
        <v>#DIV/0!</v>
      </c>
    </row>
    <row r="28" spans="1:10" x14ac:dyDescent="0.2">
      <c r="A28" s="854">
        <v>1469</v>
      </c>
      <c r="B28" s="855" t="s">
        <v>1187</v>
      </c>
      <c r="C28" s="856">
        <f>+'BALANCE AÑO ANTERIOR'!D34</f>
        <v>928102897</v>
      </c>
      <c r="D28" s="997">
        <v>0</v>
      </c>
      <c r="E28" s="997"/>
      <c r="F28" s="997"/>
      <c r="G28" s="997">
        <f t="shared" si="6"/>
        <v>928102897</v>
      </c>
      <c r="H28" s="857">
        <v>928102897</v>
      </c>
      <c r="I28" s="857">
        <f t="shared" si="7"/>
        <v>0</v>
      </c>
      <c r="J28" s="858" t="e">
        <f t="shared" si="0"/>
        <v>#DIV/0!</v>
      </c>
    </row>
    <row r="29" spans="1:10" x14ac:dyDescent="0.2">
      <c r="A29" s="854">
        <v>1301</v>
      </c>
      <c r="B29" s="855" t="s">
        <v>1407</v>
      </c>
      <c r="C29" s="856">
        <v>0</v>
      </c>
      <c r="D29" s="997">
        <v>1590784935</v>
      </c>
      <c r="E29" s="997"/>
      <c r="F29" s="997">
        <v>0</v>
      </c>
      <c r="G29" s="997">
        <f>SUM(C29:D29)-F29</f>
        <v>1590784935</v>
      </c>
      <c r="H29" s="857">
        <v>1818249672</v>
      </c>
      <c r="I29" s="857">
        <f t="shared" si="7"/>
        <v>-227464737</v>
      </c>
      <c r="J29" s="858">
        <f t="shared" si="0"/>
        <v>-7.9935452676341656</v>
      </c>
    </row>
    <row r="30" spans="1:10" x14ac:dyDescent="0.2">
      <c r="A30" s="854"/>
      <c r="B30" s="855"/>
      <c r="C30" s="859"/>
      <c r="D30" s="857"/>
      <c r="E30" s="857"/>
      <c r="F30" s="857"/>
      <c r="G30" s="997"/>
      <c r="H30" s="857"/>
      <c r="I30" s="862"/>
      <c r="J30" s="834"/>
    </row>
    <row r="31" spans="1:10" ht="16.5" thickBot="1" x14ac:dyDescent="0.3">
      <c r="A31" s="849">
        <v>1600</v>
      </c>
      <c r="B31" s="850" t="s">
        <v>1189</v>
      </c>
      <c r="C31" s="852">
        <f>SUM(C32:C34)</f>
        <v>1454474961</v>
      </c>
      <c r="D31" s="852">
        <f>SUM(D32:D34)</f>
        <v>1668160221.3499999</v>
      </c>
      <c r="E31" s="852"/>
      <c r="F31" s="852">
        <f>SUM(F32:F34)</f>
        <v>479166667</v>
      </c>
      <c r="G31" s="852">
        <f>SUM(G32:G34)</f>
        <v>2643468514.3499999</v>
      </c>
      <c r="H31" s="852">
        <f>SUM(H32:H34)</f>
        <v>997963716</v>
      </c>
      <c r="I31" s="863">
        <f>+G31-H31</f>
        <v>1645504798.3499999</v>
      </c>
      <c r="J31" s="864">
        <f t="shared" si="0"/>
        <v>0.60647876384237231</v>
      </c>
    </row>
    <row r="32" spans="1:10" ht="15.75" thickTop="1" x14ac:dyDescent="0.2">
      <c r="A32" s="854">
        <v>1630</v>
      </c>
      <c r="B32" s="855" t="s">
        <v>1190</v>
      </c>
      <c r="C32" s="856">
        <f>+'BALANCE AÑO ANTERIOR'!D32+'ESTADO SIT FINANCIERA 24-23'!D13</f>
        <v>41237716</v>
      </c>
      <c r="D32" s="997">
        <v>519821932.71000004</v>
      </c>
      <c r="E32" s="997"/>
      <c r="F32" s="997">
        <v>0</v>
      </c>
      <c r="G32" s="997">
        <f>SUM(C32:D32)-1</f>
        <v>561059647.71000004</v>
      </c>
      <c r="H32" s="857">
        <v>41237715</v>
      </c>
      <c r="I32" s="865">
        <f>+G32-H32</f>
        <v>519821932.71000004</v>
      </c>
      <c r="J32" s="834">
        <f t="shared" si="0"/>
        <v>7.9330463770573206E-2</v>
      </c>
    </row>
    <row r="33" spans="1:12" x14ac:dyDescent="0.2">
      <c r="A33" s="854">
        <v>1650</v>
      </c>
      <c r="B33" s="855" t="s">
        <v>744</v>
      </c>
      <c r="C33" s="856">
        <f>+'BALANCE AÑO ANTERIOR'!D35</f>
        <v>869896340</v>
      </c>
      <c r="D33" s="997">
        <v>0</v>
      </c>
      <c r="E33" s="997"/>
      <c r="F33" s="997">
        <v>0</v>
      </c>
      <c r="G33" s="997">
        <f>SUM(C33:D33)-F33</f>
        <v>869896340</v>
      </c>
      <c r="H33" s="857">
        <v>869896340</v>
      </c>
      <c r="I33" s="865">
        <f t="shared" ref="I33:I34" si="8">+G33-H33</f>
        <v>0</v>
      </c>
      <c r="J33" s="834" t="e">
        <f t="shared" si="0"/>
        <v>#DIV/0!</v>
      </c>
    </row>
    <row r="34" spans="1:12" x14ac:dyDescent="0.2">
      <c r="A34" s="854">
        <v>1660</v>
      </c>
      <c r="B34" s="855" t="s">
        <v>30</v>
      </c>
      <c r="C34" s="856">
        <f>+'BALANCE AÑO ANTERIOR'!D37</f>
        <v>543340905</v>
      </c>
      <c r="D34" s="997">
        <v>1148338288.6399999</v>
      </c>
      <c r="E34" s="997"/>
      <c r="F34" s="997">
        <v>479166667</v>
      </c>
      <c r="G34" s="997">
        <f>SUM(C34:D34)-F34</f>
        <v>1212512526.6399999</v>
      </c>
      <c r="H34" s="857">
        <v>86829661</v>
      </c>
      <c r="I34" s="865">
        <f t="shared" si="8"/>
        <v>1125682865.6399999</v>
      </c>
      <c r="J34" s="834">
        <f t="shared" si="0"/>
        <v>7.7135100524634487E-2</v>
      </c>
    </row>
    <row r="35" spans="1:12" x14ac:dyDescent="0.2">
      <c r="A35" s="854"/>
      <c r="B35" s="855"/>
      <c r="C35" s="859"/>
      <c r="D35" s="857"/>
      <c r="E35" s="857"/>
      <c r="F35" s="857"/>
      <c r="G35" s="857">
        <v>0</v>
      </c>
      <c r="H35" s="857"/>
      <c r="I35" s="834"/>
      <c r="J35" s="834"/>
    </row>
    <row r="36" spans="1:12" ht="16.5" thickBot="1" x14ac:dyDescent="0.3">
      <c r="A36" s="849">
        <v>1700</v>
      </c>
      <c r="B36" s="850" t="s">
        <v>1191</v>
      </c>
      <c r="C36" s="852">
        <f>SUM(C37)</f>
        <v>663998811.45000005</v>
      </c>
      <c r="D36" s="852">
        <f>SUM(D37)</f>
        <v>5815128</v>
      </c>
      <c r="E36" s="852"/>
      <c r="F36" s="852"/>
      <c r="G36" s="852">
        <f>SUM(G37)</f>
        <v>669813939.45000005</v>
      </c>
      <c r="H36" s="852">
        <f>SUM(H37)</f>
        <v>679862238.45000005</v>
      </c>
      <c r="I36" s="863">
        <f>+G36-H36</f>
        <v>-10048299</v>
      </c>
      <c r="J36" s="864">
        <f t="shared" si="0"/>
        <v>-67.659435537298407</v>
      </c>
    </row>
    <row r="37" spans="1:12" ht="15.75" thickTop="1" x14ac:dyDescent="0.2">
      <c r="A37" s="854">
        <v>1705</v>
      </c>
      <c r="B37" s="855" t="s">
        <v>1192</v>
      </c>
      <c r="C37" s="856">
        <f>+'ESTADO SIT FINANCIERA 24-23'!D35</f>
        <v>663998811.45000005</v>
      </c>
      <c r="D37" s="997">
        <v>5815128</v>
      </c>
      <c r="E37" s="997"/>
      <c r="F37" s="997"/>
      <c r="G37" s="997">
        <f>SUM(C37:D37)</f>
        <v>669813939.45000005</v>
      </c>
      <c r="H37" s="857">
        <v>679862238.45000005</v>
      </c>
      <c r="I37" s="865">
        <f>+G37-H37</f>
        <v>-10048299</v>
      </c>
      <c r="J37" s="834">
        <f t="shared" si="0"/>
        <v>-67.659435537298407</v>
      </c>
    </row>
    <row r="38" spans="1:12" x14ac:dyDescent="0.2">
      <c r="A38" s="854"/>
      <c r="B38" s="855"/>
      <c r="C38" s="859"/>
      <c r="D38" s="857"/>
      <c r="E38" s="857"/>
      <c r="F38" s="857"/>
      <c r="G38" s="857"/>
      <c r="H38" s="857"/>
      <c r="I38" s="834"/>
      <c r="J38" s="834"/>
    </row>
    <row r="39" spans="1:12" ht="16.5" thickBot="1" x14ac:dyDescent="0.3">
      <c r="A39" s="849">
        <v>1900</v>
      </c>
      <c r="B39" s="850" t="s">
        <v>119</v>
      </c>
      <c r="C39" s="852">
        <f>SUM(C40:C41)</f>
        <v>71325384.319999993</v>
      </c>
      <c r="D39" s="852">
        <f>+D41</f>
        <v>3816965</v>
      </c>
      <c r="E39" s="852"/>
      <c r="F39" s="852"/>
      <c r="G39" s="852">
        <f>SUM(G40:G41)</f>
        <v>75142349.319999993</v>
      </c>
      <c r="H39" s="852">
        <f>SUM(H41)</f>
        <v>147544570.31999999</v>
      </c>
      <c r="I39" s="852">
        <f>+G39-H39</f>
        <v>-72402221</v>
      </c>
      <c r="J39" s="853">
        <f t="shared" si="0"/>
        <v>-2.0378459152516881</v>
      </c>
    </row>
    <row r="40" spans="1:12" ht="16.5" thickTop="1" x14ac:dyDescent="0.25">
      <c r="A40" s="854">
        <v>1810</v>
      </c>
      <c r="B40" s="886" t="str">
        <f>+'ESTADO SIT FINANCIERA 24-23'!B38</f>
        <v>GASTOS PAGADOS POR ANTICIPADO</v>
      </c>
      <c r="C40" s="859">
        <f>+'ESTADO SIT FINANCIERA 24-23'!D38</f>
        <v>14280000</v>
      </c>
      <c r="D40" s="1006">
        <v>0</v>
      </c>
      <c r="E40" s="1006"/>
      <c r="F40" s="1006"/>
      <c r="G40" s="857">
        <f>SUM(C40:D40)</f>
        <v>14280000</v>
      </c>
      <c r="H40" s="1006">
        <v>14280000</v>
      </c>
      <c r="I40" s="1006">
        <f>+G40-H40</f>
        <v>0</v>
      </c>
      <c r="J40" s="999"/>
    </row>
    <row r="41" spans="1:12" x14ac:dyDescent="0.2">
      <c r="A41" s="854">
        <v>1910</v>
      </c>
      <c r="B41" s="855" t="s">
        <v>1193</v>
      </c>
      <c r="C41" s="856">
        <f>+'ESTADO SIT FINANCIERA 24-23'!D37</f>
        <v>57045384.32</v>
      </c>
      <c r="D41" s="997">
        <f>3816964+1</f>
        <v>3816965</v>
      </c>
      <c r="E41" s="997"/>
      <c r="F41" s="997"/>
      <c r="G41" s="997">
        <f>SUM(C41:D41)</f>
        <v>60862349.32</v>
      </c>
      <c r="H41" s="857">
        <v>147544570.31999999</v>
      </c>
      <c r="I41" s="857">
        <f>+G41-H41</f>
        <v>-86682221</v>
      </c>
      <c r="J41" s="858">
        <f t="shared" si="0"/>
        <v>-1.7021318630033717</v>
      </c>
    </row>
    <row r="42" spans="1:12" ht="15.75" thickBot="1" x14ac:dyDescent="0.25">
      <c r="A42" s="866"/>
      <c r="B42" s="867"/>
      <c r="C42" s="868"/>
      <c r="D42" s="869"/>
      <c r="E42" s="869"/>
      <c r="F42" s="869"/>
      <c r="G42" s="869"/>
      <c r="H42" s="869"/>
      <c r="I42" s="838"/>
      <c r="J42" s="838"/>
      <c r="L42" s="833">
        <f>+G7-L43</f>
        <v>330376324.16999054</v>
      </c>
    </row>
    <row r="43" spans="1:12" ht="16.5" thickBot="1" x14ac:dyDescent="0.3">
      <c r="A43" s="1298" t="s">
        <v>395</v>
      </c>
      <c r="B43" s="1299"/>
      <c r="C43" s="846">
        <f>+C45+C51+C55+C64+C70+C75</f>
        <v>38746802604.769997</v>
      </c>
      <c r="D43" s="1001">
        <f>+D45+D51+D55+D64+D70+D75</f>
        <v>2298105935.9899998</v>
      </c>
      <c r="E43" s="1001">
        <f t="shared" ref="E43:F43" si="9">+E45+E51+E55+E64+E70+E75</f>
        <v>0</v>
      </c>
      <c r="F43" s="1001">
        <f t="shared" si="9"/>
        <v>479166667</v>
      </c>
      <c r="G43" s="846">
        <f>+G45+G51+G55+G64+G70+G75</f>
        <v>39889321877.760002</v>
      </c>
      <c r="H43" s="846">
        <f>+H45+H51+H55+H64+H70+H75</f>
        <v>39682451474.769997</v>
      </c>
      <c r="I43" s="846">
        <f>+G43-H43</f>
        <v>206870402.99000549</v>
      </c>
      <c r="J43" s="870">
        <f>+H43/I43</f>
        <v>191.8227590859731</v>
      </c>
      <c r="L43" s="833">
        <f>+G43+G77</f>
        <v>47442283187.900002</v>
      </c>
    </row>
    <row r="44" spans="1:12" ht="16.5" thickBot="1" x14ac:dyDescent="0.3">
      <c r="A44" s="871"/>
      <c r="B44" s="1005"/>
      <c r="C44" s="883"/>
      <c r="D44" s="872"/>
      <c r="E44" s="872"/>
      <c r="F44" s="872"/>
      <c r="G44" s="872"/>
      <c r="H44" s="872"/>
      <c r="I44" s="837"/>
      <c r="J44" s="837"/>
    </row>
    <row r="45" spans="1:12" ht="16.5" thickBot="1" x14ac:dyDescent="0.3">
      <c r="A45" s="849">
        <v>2100</v>
      </c>
      <c r="B45" s="850" t="s">
        <v>177</v>
      </c>
      <c r="C45" s="1007">
        <f>SUM(C46:C49)</f>
        <v>34731528315.580002</v>
      </c>
      <c r="D45" s="873"/>
      <c r="E45" s="873"/>
      <c r="F45" s="873"/>
      <c r="G45" s="873">
        <f>SUM(G46:G49)</f>
        <v>34731528315.580002</v>
      </c>
      <c r="H45" s="852">
        <f>SUM(H46:H49)</f>
        <v>34731528315.580002</v>
      </c>
      <c r="I45" s="852">
        <f>+G45-H45</f>
        <v>0</v>
      </c>
      <c r="J45" s="853" t="e">
        <f t="shared" si="0"/>
        <v>#DIV/0!</v>
      </c>
    </row>
    <row r="46" spans="1:12" ht="15.75" thickTop="1" x14ac:dyDescent="0.2">
      <c r="A46" s="874">
        <v>2105</v>
      </c>
      <c r="B46" s="855" t="s">
        <v>1239</v>
      </c>
      <c r="C46" s="875">
        <f>+'ESTADO SIT FINANCIERA 24-23'!D45</f>
        <v>353652316</v>
      </c>
      <c r="D46" s="857">
        <v>0</v>
      </c>
      <c r="E46" s="857"/>
      <c r="F46" s="857"/>
      <c r="G46" s="857">
        <f>SUM(C46:D46)</f>
        <v>353652316</v>
      </c>
      <c r="H46" s="857">
        <v>353652316</v>
      </c>
      <c r="I46" s="857">
        <f>+G46-H46</f>
        <v>0</v>
      </c>
      <c r="J46" s="858" t="e">
        <f t="shared" si="0"/>
        <v>#DIV/0!</v>
      </c>
    </row>
    <row r="47" spans="1:12" x14ac:dyDescent="0.2">
      <c r="A47" s="854">
        <v>2110</v>
      </c>
      <c r="B47" s="855" t="s">
        <v>799</v>
      </c>
      <c r="C47" s="859">
        <f>+'ESTADO SIT FINANCIERA 24-23'!D57+'ESTADO SIT FINANCIERA 24-23'!D44</f>
        <v>14159456137</v>
      </c>
      <c r="D47" s="857">
        <v>0</v>
      </c>
      <c r="E47" s="857"/>
      <c r="F47" s="857"/>
      <c r="G47" s="857">
        <f t="shared" ref="G47:G49" si="10">SUM(C47:D47)</f>
        <v>14159456137</v>
      </c>
      <c r="H47" s="857">
        <v>14159456137</v>
      </c>
      <c r="I47" s="857">
        <f t="shared" ref="I47:I49" si="11">+G47-H47</f>
        <v>0</v>
      </c>
      <c r="J47" s="858" t="e">
        <f t="shared" si="0"/>
        <v>#DIV/0!</v>
      </c>
    </row>
    <row r="48" spans="1:12" x14ac:dyDescent="0.2">
      <c r="A48" s="854">
        <v>2125</v>
      </c>
      <c r="B48" s="855" t="s">
        <v>1194</v>
      </c>
      <c r="C48" s="859">
        <f>+'ESTADO SIT FINANCIERA 24-23'!D46</f>
        <v>855195395</v>
      </c>
      <c r="D48" s="857">
        <v>0</v>
      </c>
      <c r="E48" s="857"/>
      <c r="F48" s="857"/>
      <c r="G48" s="857">
        <f t="shared" si="10"/>
        <v>855195395</v>
      </c>
      <c r="H48" s="857">
        <v>855195395</v>
      </c>
      <c r="I48" s="857">
        <f t="shared" si="11"/>
        <v>0</v>
      </c>
      <c r="J48" s="858" t="e">
        <f t="shared" si="0"/>
        <v>#DIV/0!</v>
      </c>
    </row>
    <row r="49" spans="1:10" x14ac:dyDescent="0.2">
      <c r="A49" s="854">
        <v>2130</v>
      </c>
      <c r="B49" s="855" t="s">
        <v>807</v>
      </c>
      <c r="C49" s="859">
        <f>+'ESTADO SIT FINANCIERA 24-23'!D59</f>
        <v>19363224467.580002</v>
      </c>
      <c r="D49" s="857">
        <v>0</v>
      </c>
      <c r="E49" s="857"/>
      <c r="F49" s="857"/>
      <c r="G49" s="857">
        <f t="shared" si="10"/>
        <v>19363224467.580002</v>
      </c>
      <c r="H49" s="857">
        <v>19363224467.580002</v>
      </c>
      <c r="I49" s="857">
        <f t="shared" si="11"/>
        <v>0</v>
      </c>
      <c r="J49" s="858" t="e">
        <f t="shared" si="0"/>
        <v>#DIV/0!</v>
      </c>
    </row>
    <row r="50" spans="1:10" x14ac:dyDescent="0.2">
      <c r="A50" s="854"/>
      <c r="B50" s="855"/>
      <c r="C50" s="859"/>
      <c r="D50" s="857"/>
      <c r="E50" s="857"/>
      <c r="F50" s="857"/>
      <c r="G50" s="857"/>
      <c r="H50" s="857"/>
      <c r="I50" s="834"/>
      <c r="J50" s="834"/>
    </row>
    <row r="51" spans="1:10" ht="16.5" thickBot="1" x14ac:dyDescent="0.3">
      <c r="A51" s="849">
        <v>2300</v>
      </c>
      <c r="B51" s="850" t="s">
        <v>1195</v>
      </c>
      <c r="C51" s="852">
        <f>SUM(C52:C53)</f>
        <v>2504070091</v>
      </c>
      <c r="D51" s="873">
        <f>SUM(D53)</f>
        <v>41729492.789999999</v>
      </c>
      <c r="E51" s="873"/>
      <c r="F51" s="873">
        <f>+F53</f>
        <v>0</v>
      </c>
      <c r="G51" s="852">
        <f>SUM(G53)</f>
        <v>1869379587.79</v>
      </c>
      <c r="H51" s="852">
        <f>SUM(H53)</f>
        <v>2055971945</v>
      </c>
      <c r="I51" s="852">
        <f>+G51-H51</f>
        <v>-186592357.21000004</v>
      </c>
      <c r="J51" s="853">
        <f t="shared" si="0"/>
        <v>-11.018521743021394</v>
      </c>
    </row>
    <row r="52" spans="1:10" ht="16.5" thickTop="1" x14ac:dyDescent="0.25">
      <c r="A52" s="849">
        <v>2305</v>
      </c>
      <c r="B52" s="855" t="s">
        <v>1417</v>
      </c>
      <c r="C52" s="859">
        <f>+'ESTADO SIT FINANCIERA 24-23'!D48</f>
        <v>676419996</v>
      </c>
      <c r="D52" s="1006"/>
      <c r="E52" s="1006"/>
      <c r="F52" s="1006"/>
      <c r="G52" s="1006"/>
      <c r="H52" s="1006"/>
      <c r="I52" s="1006"/>
      <c r="J52" s="999"/>
    </row>
    <row r="53" spans="1:10" x14ac:dyDescent="0.2">
      <c r="A53" s="854">
        <v>2308</v>
      </c>
      <c r="B53" s="855" t="s">
        <v>1196</v>
      </c>
      <c r="C53" s="859">
        <f>+'ESTADO SIT FINANCIERA 24-23'!D60</f>
        <v>1827650095</v>
      </c>
      <c r="D53" s="857">
        <v>41729492.789999999</v>
      </c>
      <c r="E53" s="857"/>
      <c r="F53" s="857">
        <v>0</v>
      </c>
      <c r="G53" s="857">
        <f>SUM(C53:D53)-F53</f>
        <v>1869379587.79</v>
      </c>
      <c r="H53" s="857">
        <v>2055971945</v>
      </c>
      <c r="I53" s="857">
        <f>+G53-H53</f>
        <v>-186592357.21000004</v>
      </c>
      <c r="J53" s="858">
        <f t="shared" si="0"/>
        <v>-11.018521743021394</v>
      </c>
    </row>
    <row r="54" spans="1:10" x14ac:dyDescent="0.2">
      <c r="A54" s="854"/>
      <c r="B54" s="855"/>
      <c r="C54" s="859"/>
      <c r="D54" s="857"/>
      <c r="E54" s="857"/>
      <c r="F54" s="857"/>
      <c r="G54" s="857"/>
      <c r="H54" s="857"/>
      <c r="I54" s="834"/>
      <c r="J54" s="834"/>
    </row>
    <row r="55" spans="1:10" ht="16.5" thickBot="1" x14ac:dyDescent="0.3">
      <c r="A55" s="849">
        <v>2400</v>
      </c>
      <c r="B55" s="850" t="s">
        <v>1197</v>
      </c>
      <c r="C55" s="852">
        <f>SUM(C56:C62)</f>
        <v>611319989</v>
      </c>
      <c r="D55" s="873">
        <f>SUM(D56:D62)</f>
        <v>1299117318.55</v>
      </c>
      <c r="E55" s="873"/>
      <c r="F55" s="873">
        <f>SUM(F56:F60)</f>
        <v>20668070</v>
      </c>
      <c r="G55" s="852">
        <f>SUM(G56:G62)</f>
        <v>1889769237.55</v>
      </c>
      <c r="H55" s="852">
        <f>SUM(H56:H62)</f>
        <v>1176614596</v>
      </c>
      <c r="I55" s="852">
        <f>+G55-H55</f>
        <v>713154641.54999995</v>
      </c>
      <c r="J55" s="853">
        <f t="shared" si="0"/>
        <v>1.6498730113327131</v>
      </c>
    </row>
    <row r="56" spans="1:10" ht="15.75" thickTop="1" x14ac:dyDescent="0.2">
      <c r="A56" s="854">
        <v>2410</v>
      </c>
      <c r="B56" s="855" t="s">
        <v>178</v>
      </c>
      <c r="C56" s="875">
        <f>+'BALANCE AÑO ANTERIOR'!D67+'BALANCE AÑO ANTERIOR'!D66</f>
        <v>5475531</v>
      </c>
      <c r="D56" s="857"/>
      <c r="E56" s="857"/>
      <c r="F56" s="857">
        <v>0</v>
      </c>
      <c r="G56" s="857">
        <f>SUM(C56:D56)-F56</f>
        <v>5475531</v>
      </c>
      <c r="H56" s="857">
        <v>5475531</v>
      </c>
      <c r="I56" s="857">
        <f>+G56-H56</f>
        <v>0</v>
      </c>
      <c r="J56" s="858" t="e">
        <f t="shared" si="0"/>
        <v>#DIV/0!</v>
      </c>
    </row>
    <row r="57" spans="1:10" x14ac:dyDescent="0.2">
      <c r="A57" s="854">
        <v>2420</v>
      </c>
      <c r="B57" s="855" t="s">
        <v>173</v>
      </c>
      <c r="C57" s="859">
        <f>+'BALANCE AÑO ANTERIOR'!D68</f>
        <v>51998212</v>
      </c>
      <c r="D57" s="857">
        <v>836722643.18999994</v>
      </c>
      <c r="E57" s="857"/>
      <c r="F57" s="857">
        <v>20668070</v>
      </c>
      <c r="G57" s="857">
        <f>SUM(C57:D57)-F57</f>
        <v>868052785.18999994</v>
      </c>
      <c r="H57" s="857">
        <v>616712410</v>
      </c>
      <c r="I57" s="857">
        <f t="shared" ref="I57:I62" si="12">+G57-H57</f>
        <v>251340375.18999994</v>
      </c>
      <c r="J57" s="858">
        <f t="shared" si="0"/>
        <v>2.4536941569129045</v>
      </c>
    </row>
    <row r="58" spans="1:10" x14ac:dyDescent="0.2">
      <c r="A58" s="854">
        <v>2425</v>
      </c>
      <c r="B58" s="855" t="s">
        <v>85</v>
      </c>
      <c r="C58" s="859">
        <f>+'BALANCE AÑO ANTERIOR'!D69</f>
        <v>165664</v>
      </c>
      <c r="D58" s="857"/>
      <c r="E58" s="857"/>
      <c r="F58" s="857"/>
      <c r="G58" s="857">
        <f t="shared" ref="G58:G62" si="13">SUM(C58:D58)</f>
        <v>165664</v>
      </c>
      <c r="H58" s="857">
        <v>165664</v>
      </c>
      <c r="I58" s="857">
        <f t="shared" si="12"/>
        <v>0</v>
      </c>
      <c r="J58" s="858" t="e">
        <f t="shared" si="0"/>
        <v>#DIV/0!</v>
      </c>
    </row>
    <row r="59" spans="1:10" x14ac:dyDescent="0.2">
      <c r="A59" s="854">
        <v>2435</v>
      </c>
      <c r="B59" s="855" t="s">
        <v>179</v>
      </c>
      <c r="C59" s="859">
        <f>+'BALANCE AÑO ANTERIOR'!D70</f>
        <v>43294810</v>
      </c>
      <c r="D59" s="857">
        <v>12249270</v>
      </c>
      <c r="E59" s="857"/>
      <c r="F59" s="857"/>
      <c r="G59" s="857">
        <f t="shared" si="13"/>
        <v>55544080</v>
      </c>
      <c r="H59" s="857">
        <v>43294810</v>
      </c>
      <c r="I59" s="857">
        <f t="shared" si="12"/>
        <v>12249270</v>
      </c>
      <c r="J59" s="858">
        <f t="shared" si="0"/>
        <v>3.534480830286213</v>
      </c>
    </row>
    <row r="60" spans="1:10" x14ac:dyDescent="0.2">
      <c r="A60" s="854">
        <v>2445</v>
      </c>
      <c r="B60" s="855" t="s">
        <v>1198</v>
      </c>
      <c r="C60" s="859">
        <f>+'BALANCE AÑO ANTERIOR'!D72</f>
        <v>378239437</v>
      </c>
      <c r="D60" s="857">
        <v>450145405.36000001</v>
      </c>
      <c r="E60" s="857"/>
      <c r="F60" s="857">
        <v>0</v>
      </c>
      <c r="G60" s="857">
        <f t="shared" si="13"/>
        <v>828384842.36000001</v>
      </c>
      <c r="H60" s="857">
        <v>378819846</v>
      </c>
      <c r="I60" s="857">
        <f t="shared" si="12"/>
        <v>449564996.36000001</v>
      </c>
      <c r="J60" s="858">
        <f t="shared" si="0"/>
        <v>0.84263643537018362</v>
      </c>
    </row>
    <row r="61" spans="1:10" x14ac:dyDescent="0.2">
      <c r="A61" s="854">
        <v>2450</v>
      </c>
      <c r="B61" s="855" t="s">
        <v>1199</v>
      </c>
      <c r="C61" s="859">
        <f>+'BALANCE AÑO ANTERIOR'!D71</f>
        <v>31720594</v>
      </c>
      <c r="D61" s="857">
        <v>0</v>
      </c>
      <c r="E61" s="857"/>
      <c r="F61" s="857"/>
      <c r="G61" s="857">
        <f t="shared" si="13"/>
        <v>31720594</v>
      </c>
      <c r="H61" s="857">
        <v>31720594</v>
      </c>
      <c r="I61" s="857">
        <f t="shared" si="12"/>
        <v>0</v>
      </c>
      <c r="J61" s="858" t="e">
        <f t="shared" si="0"/>
        <v>#DIV/0!</v>
      </c>
    </row>
    <row r="62" spans="1:10" x14ac:dyDescent="0.2">
      <c r="A62" s="854">
        <v>2465</v>
      </c>
      <c r="B62" s="855" t="s">
        <v>181</v>
      </c>
      <c r="C62" s="859">
        <f>+'BALANCE AÑO ANTERIOR'!D73</f>
        <v>100425741</v>
      </c>
      <c r="D62" s="857">
        <v>0</v>
      </c>
      <c r="E62" s="857"/>
      <c r="F62" s="857"/>
      <c r="G62" s="857">
        <f t="shared" si="13"/>
        <v>100425741</v>
      </c>
      <c r="H62" s="857">
        <v>100425741</v>
      </c>
      <c r="I62" s="857">
        <f t="shared" si="12"/>
        <v>0</v>
      </c>
      <c r="J62" s="858" t="e">
        <f t="shared" si="0"/>
        <v>#DIV/0!</v>
      </c>
    </row>
    <row r="63" spans="1:10" x14ac:dyDescent="0.2">
      <c r="A63" s="854"/>
      <c r="B63" s="855"/>
      <c r="C63" s="859"/>
      <c r="D63" s="857"/>
      <c r="E63" s="857"/>
      <c r="F63" s="857"/>
      <c r="G63" s="857"/>
      <c r="H63" s="857"/>
      <c r="I63" s="834"/>
      <c r="J63" s="834"/>
    </row>
    <row r="64" spans="1:10" ht="16.5" thickBot="1" x14ac:dyDescent="0.3">
      <c r="A64" s="849">
        <v>2600</v>
      </c>
      <c r="B64" s="850" t="s">
        <v>1201</v>
      </c>
      <c r="C64" s="852">
        <f>SUM(C65:C68)</f>
        <v>98364900</v>
      </c>
      <c r="D64" s="873">
        <f>SUM(D65:D68)</f>
        <v>0</v>
      </c>
      <c r="E64" s="873"/>
      <c r="F64" s="873"/>
      <c r="G64" s="852">
        <f>SUM(G65:G68)</f>
        <v>98364900</v>
      </c>
      <c r="H64" s="852">
        <f>SUM(H65:H68)</f>
        <v>98364900</v>
      </c>
      <c r="I64" s="852">
        <f>+G64-H64</f>
        <v>0</v>
      </c>
      <c r="J64" s="853" t="e">
        <f t="shared" si="0"/>
        <v>#DIV/0!</v>
      </c>
    </row>
    <row r="65" spans="1:10" ht="15.75" thickTop="1" x14ac:dyDescent="0.2">
      <c r="A65" s="854">
        <v>2610</v>
      </c>
      <c r="B65" s="855" t="s">
        <v>273</v>
      </c>
      <c r="C65" s="859">
        <f>+'BALANCE AÑO ANTERIOR'!D76</f>
        <v>0</v>
      </c>
      <c r="D65" s="857">
        <v>0</v>
      </c>
      <c r="E65" s="857"/>
      <c r="F65" s="857"/>
      <c r="G65" s="857">
        <f>SUM(C65:D65)</f>
        <v>0</v>
      </c>
      <c r="H65" s="857">
        <v>0</v>
      </c>
      <c r="I65" s="857">
        <f>+C65-H65</f>
        <v>0</v>
      </c>
      <c r="J65" s="858" t="e">
        <f t="shared" si="0"/>
        <v>#DIV/0!</v>
      </c>
    </row>
    <row r="66" spans="1:10" x14ac:dyDescent="0.2">
      <c r="A66" s="854">
        <v>2625</v>
      </c>
      <c r="B66" s="855" t="s">
        <v>274</v>
      </c>
      <c r="C66" s="859">
        <f>+'BALANCE AÑO ANTERIOR'!D77</f>
        <v>0</v>
      </c>
      <c r="D66" s="857">
        <v>0</v>
      </c>
      <c r="E66" s="857"/>
      <c r="F66" s="857"/>
      <c r="G66" s="857">
        <f t="shared" ref="G66:G68" si="14">SUM(C66:D66)</f>
        <v>0</v>
      </c>
      <c r="H66" s="857">
        <v>0</v>
      </c>
      <c r="I66" s="857">
        <f t="shared" ref="I66:I68" si="15">+C66-H66</f>
        <v>0</v>
      </c>
      <c r="J66" s="858" t="e">
        <f t="shared" si="0"/>
        <v>#DIV/0!</v>
      </c>
    </row>
    <row r="67" spans="1:10" x14ac:dyDescent="0.2">
      <c r="A67" s="854">
        <v>2648</v>
      </c>
      <c r="B67" s="855" t="s">
        <v>182</v>
      </c>
      <c r="C67" s="859">
        <v>0</v>
      </c>
      <c r="D67" s="857">
        <v>0</v>
      </c>
      <c r="E67" s="857"/>
      <c r="F67" s="857"/>
      <c r="G67" s="857">
        <f t="shared" si="14"/>
        <v>0</v>
      </c>
      <c r="H67" s="857">
        <v>0</v>
      </c>
      <c r="I67" s="857">
        <f t="shared" si="15"/>
        <v>0</v>
      </c>
      <c r="J67" s="858" t="e">
        <f t="shared" si="0"/>
        <v>#DIV/0!</v>
      </c>
    </row>
    <row r="68" spans="1:10" x14ac:dyDescent="0.2">
      <c r="A68" s="854">
        <v>2652</v>
      </c>
      <c r="B68" s="855" t="s">
        <v>1212</v>
      </c>
      <c r="C68" s="859">
        <f>+'BALANCE AÑO ANTERIOR'!D79</f>
        <v>98364900</v>
      </c>
      <c r="D68" s="857"/>
      <c r="E68" s="857"/>
      <c r="F68" s="857"/>
      <c r="G68" s="857">
        <f t="shared" si="14"/>
        <v>98364900</v>
      </c>
      <c r="H68" s="857">
        <v>98364900</v>
      </c>
      <c r="I68" s="857">
        <f t="shared" si="15"/>
        <v>0</v>
      </c>
      <c r="J68" s="858" t="e">
        <f t="shared" si="0"/>
        <v>#DIV/0!</v>
      </c>
    </row>
    <row r="69" spans="1:10" x14ac:dyDescent="0.2">
      <c r="A69" s="854"/>
      <c r="B69" s="855"/>
      <c r="C69" s="859"/>
      <c r="D69" s="857"/>
      <c r="E69" s="857"/>
      <c r="F69" s="857"/>
      <c r="G69" s="857"/>
      <c r="H69" s="857"/>
      <c r="I69" s="857">
        <f t="shared" ref="I69" si="16">+C69-H69</f>
        <v>0</v>
      </c>
      <c r="J69" s="834"/>
    </row>
    <row r="70" spans="1:10" ht="16.5" thickBot="1" x14ac:dyDescent="0.3">
      <c r="A70" s="849">
        <v>2700</v>
      </c>
      <c r="B70" s="850" t="s">
        <v>40</v>
      </c>
      <c r="C70" s="852">
        <f>SUM(C71:C73)</f>
        <v>208079521.26999998</v>
      </c>
      <c r="D70" s="873">
        <f>SUM(D71:D73)</f>
        <v>478092457.65000004</v>
      </c>
      <c r="E70" s="873"/>
      <c r="F70" s="873"/>
      <c r="G70" s="852">
        <f>SUM(G71:G73)</f>
        <v>686171978.92000008</v>
      </c>
      <c r="H70" s="852">
        <f>SUM(H71:H73)</f>
        <v>632674896.26999998</v>
      </c>
      <c r="I70" s="852">
        <f>+G70-H70</f>
        <v>53497082.650000095</v>
      </c>
      <c r="J70" s="853">
        <f t="shared" si="0"/>
        <v>11.826343885127704</v>
      </c>
    </row>
    <row r="71" spans="1:10" ht="15.75" thickTop="1" x14ac:dyDescent="0.2">
      <c r="A71" s="854">
        <v>2710</v>
      </c>
      <c r="B71" s="855" t="s">
        <v>1217</v>
      </c>
      <c r="C71" s="859">
        <f>+'BALANCE AÑO ANTERIOR'!D81</f>
        <v>75297026.200000003</v>
      </c>
      <c r="D71" s="857">
        <v>25323502.680000003</v>
      </c>
      <c r="E71" s="857"/>
      <c r="F71" s="857"/>
      <c r="G71" s="857">
        <f>SUM(C71:D71)</f>
        <v>100620528.88000001</v>
      </c>
      <c r="H71" s="857">
        <v>100866441.2</v>
      </c>
      <c r="I71" s="857">
        <f>+G71-H71</f>
        <v>-245912.31999999285</v>
      </c>
      <c r="J71" s="858">
        <f t="shared" si="0"/>
        <v>-410.17237851280868</v>
      </c>
    </row>
    <row r="72" spans="1:10" x14ac:dyDescent="0.2">
      <c r="A72" s="854">
        <v>2510</v>
      </c>
      <c r="B72" s="1117" t="str">
        <f>+'BALANCE AÑO ANTERIOR'!B74</f>
        <v>IMPUESTO A LAS VENTAS POR PAGAR</v>
      </c>
      <c r="C72" s="859">
        <f>+'BALANCE AÑO ANTERIOR'!D74</f>
        <v>0</v>
      </c>
      <c r="D72" s="857">
        <v>452768954.97000003</v>
      </c>
      <c r="E72" s="857"/>
      <c r="F72" s="857"/>
      <c r="G72" s="857">
        <f t="shared" ref="G72:G73" si="17">SUM(C72:D72)</f>
        <v>452768954.97000003</v>
      </c>
      <c r="H72" s="857">
        <v>399025960</v>
      </c>
      <c r="I72" s="857"/>
      <c r="J72" s="858"/>
    </row>
    <row r="73" spans="1:10" x14ac:dyDescent="0.2">
      <c r="A73" s="854">
        <v>2720</v>
      </c>
      <c r="B73" s="855" t="s">
        <v>852</v>
      </c>
      <c r="C73" s="859">
        <f>+'BALANCE AÑO ANTERIOR'!D83+'BALANCE AÑO ANTERIOR'!D82</f>
        <v>132782495.06999999</v>
      </c>
      <c r="D73" s="857">
        <v>0</v>
      </c>
      <c r="E73" s="857"/>
      <c r="F73" s="857"/>
      <c r="G73" s="857">
        <f t="shared" si="17"/>
        <v>132782495.06999999</v>
      </c>
      <c r="H73" s="857">
        <v>132782495.06999999</v>
      </c>
      <c r="I73" s="857">
        <f>+G73-H73</f>
        <v>0</v>
      </c>
      <c r="J73" s="858" t="e">
        <f t="shared" si="0"/>
        <v>#DIV/0!</v>
      </c>
    </row>
    <row r="74" spans="1:10" x14ac:dyDescent="0.2">
      <c r="A74" s="854"/>
      <c r="B74" s="855"/>
      <c r="C74" s="859"/>
      <c r="D74" s="857"/>
      <c r="E74" s="857"/>
      <c r="F74" s="857"/>
      <c r="G74" s="857"/>
      <c r="H74" s="857"/>
      <c r="I74" s="857">
        <f t="shared" ref="I74" si="18">+C74-H74</f>
        <v>0</v>
      </c>
      <c r="J74" s="834"/>
    </row>
    <row r="75" spans="1:10" ht="16.5" thickBot="1" x14ac:dyDescent="0.3">
      <c r="A75" s="876">
        <v>2800</v>
      </c>
      <c r="B75" s="877" t="s">
        <v>202</v>
      </c>
      <c r="C75" s="852">
        <f>SUM(C76)</f>
        <v>593439787.91999996</v>
      </c>
      <c r="D75" s="873">
        <f>SUM(D76)</f>
        <v>479166667</v>
      </c>
      <c r="E75" s="873"/>
      <c r="F75" s="873">
        <f>SUM(F76)</f>
        <v>458498597</v>
      </c>
      <c r="G75" s="852">
        <f>SUM(G76)</f>
        <v>614107857.91999996</v>
      </c>
      <c r="H75" s="852">
        <f>SUM(H76)</f>
        <v>987296821.91999996</v>
      </c>
      <c r="I75" s="852">
        <f>+G75-H75</f>
        <v>-373188964</v>
      </c>
      <c r="J75" s="853">
        <f t="shared" ref="J75:J95" si="19">+H75/I75</f>
        <v>-2.6455681093506289</v>
      </c>
    </row>
    <row r="76" spans="1:10" ht="16.5" thickTop="1" thickBot="1" x14ac:dyDescent="0.25">
      <c r="A76" s="866">
        <v>2825</v>
      </c>
      <c r="B76" s="867" t="s">
        <v>1203</v>
      </c>
      <c r="C76" s="868">
        <f>+'BALANCE AÑO ANTERIOR'!D84</f>
        <v>593439787.91999996</v>
      </c>
      <c r="D76" s="869">
        <v>479166667</v>
      </c>
      <c r="E76" s="869"/>
      <c r="F76" s="869">
        <v>458498597</v>
      </c>
      <c r="G76" s="869">
        <f>SUM(C76:D76)-F76</f>
        <v>614107857.91999996</v>
      </c>
      <c r="H76" s="869">
        <v>987296821.91999996</v>
      </c>
      <c r="I76" s="869">
        <f>+G76-H76</f>
        <v>-373188964</v>
      </c>
      <c r="J76" s="878">
        <f t="shared" si="19"/>
        <v>-2.6455681093506289</v>
      </c>
    </row>
    <row r="77" spans="1:10" ht="16.5" thickBot="1" x14ac:dyDescent="0.3">
      <c r="A77" s="1294" t="s">
        <v>185</v>
      </c>
      <c r="B77" s="1295"/>
      <c r="C77" s="879">
        <f t="shared" ref="C77:H77" si="20">+C79+C82+C86+C91</f>
        <v>7206916486.5699997</v>
      </c>
      <c r="D77" s="1002">
        <f t="shared" si="20"/>
        <v>1309904973.76</v>
      </c>
      <c r="E77" s="1002">
        <f t="shared" si="20"/>
        <v>-963860150.19000006</v>
      </c>
      <c r="F77" s="1002">
        <f t="shared" si="20"/>
        <v>0</v>
      </c>
      <c r="G77" s="879">
        <f t="shared" si="20"/>
        <v>7552961310.1399994</v>
      </c>
      <c r="H77" s="879">
        <f t="shared" si="20"/>
        <v>7206917638.5699997</v>
      </c>
      <c r="I77" s="879">
        <v>0</v>
      </c>
      <c r="J77" s="880" t="e">
        <f t="shared" si="19"/>
        <v>#DIV/0!</v>
      </c>
    </row>
    <row r="78" spans="1:10" ht="15.75" x14ac:dyDescent="0.25">
      <c r="A78" s="839"/>
      <c r="B78" s="881"/>
      <c r="C78" s="882"/>
      <c r="D78" s="882"/>
      <c r="E78" s="882"/>
      <c r="F78" s="882"/>
      <c r="G78" s="882"/>
      <c r="H78" s="883"/>
      <c r="I78" s="836"/>
      <c r="J78" s="837"/>
    </row>
    <row r="79" spans="1:10" ht="16.5" thickBot="1" x14ac:dyDescent="0.3">
      <c r="A79" s="849">
        <v>3100</v>
      </c>
      <c r="B79" s="850" t="s">
        <v>863</v>
      </c>
      <c r="C79" s="852">
        <f>SUM(C80)</f>
        <v>2690441418</v>
      </c>
      <c r="D79" s="852">
        <f>SUM(D80)</f>
        <v>269525152</v>
      </c>
      <c r="E79" s="852">
        <f>SUM(E80)</f>
        <v>-269524000</v>
      </c>
      <c r="F79" s="852"/>
      <c r="G79" s="852">
        <f>SUM(G80)</f>
        <v>2690442570</v>
      </c>
      <c r="H79" s="852">
        <f>SUM(H80)</f>
        <v>2690442570</v>
      </c>
      <c r="I79" s="852">
        <f>+G79-H79</f>
        <v>0</v>
      </c>
      <c r="J79" s="853" t="e">
        <f t="shared" si="19"/>
        <v>#DIV/0!</v>
      </c>
    </row>
    <row r="80" spans="1:10" ht="15.75" thickTop="1" x14ac:dyDescent="0.2">
      <c r="A80" s="854">
        <v>3105</v>
      </c>
      <c r="B80" s="855" t="s">
        <v>1214</v>
      </c>
      <c r="C80" s="875">
        <f>+'ESTADO SIT FINANCIERA 24-23'!D66+'ESTADO SIT FINANCIERA 24-23'!D67</f>
        <v>2690441418</v>
      </c>
      <c r="D80" s="859">
        <f>+'NUEVO EEFF CONSOLIDADO 22'!D71</f>
        <v>269525152</v>
      </c>
      <c r="E80" s="859">
        <v>-269524000</v>
      </c>
      <c r="F80" s="859"/>
      <c r="G80" s="859">
        <f>SUM(C80:E80)</f>
        <v>2690442570</v>
      </c>
      <c r="H80" s="859">
        <v>2690442570</v>
      </c>
      <c r="I80" s="859">
        <f>+G80-H80</f>
        <v>0</v>
      </c>
      <c r="J80" s="884" t="e">
        <f t="shared" si="19"/>
        <v>#DIV/0!</v>
      </c>
    </row>
    <row r="81" spans="1:10" x14ac:dyDescent="0.2">
      <c r="A81" s="854"/>
      <c r="B81" s="855"/>
      <c r="C81" s="859"/>
      <c r="D81" s="859"/>
      <c r="E81" s="859"/>
      <c r="F81" s="859"/>
      <c r="G81" s="859"/>
      <c r="H81" s="859"/>
      <c r="I81" s="885"/>
      <c r="J81" s="834"/>
    </row>
    <row r="82" spans="1:10" ht="16.5" thickBot="1" x14ac:dyDescent="0.3">
      <c r="A82" s="849">
        <v>3200</v>
      </c>
      <c r="B82" s="850" t="s">
        <v>1204</v>
      </c>
      <c r="C82" s="852">
        <f>SUM(C83:C84)</f>
        <v>1954993667.6500001</v>
      </c>
      <c r="D82" s="852">
        <f>SUM(D83:D84)</f>
        <v>92616411</v>
      </c>
      <c r="E82" s="852">
        <f>SUM(E83:E84)</f>
        <v>-92616411</v>
      </c>
      <c r="F82" s="852"/>
      <c r="G82" s="852">
        <f>SUM(G83:G84)</f>
        <v>1954993667.6500001</v>
      </c>
      <c r="H82" s="852">
        <f>SUM(H83:H84)</f>
        <v>1954993667.6500001</v>
      </c>
      <c r="I82" s="852">
        <f>+G82-H82</f>
        <v>0</v>
      </c>
      <c r="J82" s="853">
        <v>0</v>
      </c>
    </row>
    <row r="83" spans="1:10" ht="15.75" thickTop="1" x14ac:dyDescent="0.2">
      <c r="A83" s="854">
        <v>3205</v>
      </c>
      <c r="B83" s="855" t="s">
        <v>866</v>
      </c>
      <c r="C83" s="875">
        <f>+'ESTADO SIT FINANCIERA 24-23'!D68</f>
        <v>1046140934.11</v>
      </c>
      <c r="D83" s="859">
        <v>0</v>
      </c>
      <c r="E83" s="859"/>
      <c r="F83" s="859"/>
      <c r="G83" s="859">
        <f>SUM(C83:D83)</f>
        <v>1046140934.11</v>
      </c>
      <c r="H83" s="859">
        <v>1046140934.11</v>
      </c>
      <c r="I83" s="859">
        <f>+G83-H83</f>
        <v>0</v>
      </c>
      <c r="J83" s="857">
        <v>0</v>
      </c>
    </row>
    <row r="84" spans="1:10" x14ac:dyDescent="0.2">
      <c r="A84" s="854">
        <v>3225</v>
      </c>
      <c r="B84" s="855" t="s">
        <v>43</v>
      </c>
      <c r="C84" s="859">
        <f>+'ESTADO SIT FINANCIERA 24-23'!D69</f>
        <v>908852733.53999996</v>
      </c>
      <c r="D84" s="859">
        <f>+'NUEVO EEFF CONSOLIDADO 22'!D74</f>
        <v>92616411</v>
      </c>
      <c r="E84" s="859">
        <v>-92616411</v>
      </c>
      <c r="F84" s="859"/>
      <c r="G84" s="859">
        <f>SUM(C84:E84)</f>
        <v>908852733.53999996</v>
      </c>
      <c r="H84" s="859">
        <v>908852733.53999996</v>
      </c>
      <c r="I84" s="859">
        <f>+G84-H84</f>
        <v>0</v>
      </c>
      <c r="J84" s="857">
        <v>0</v>
      </c>
    </row>
    <row r="85" spans="1:10" x14ac:dyDescent="0.2">
      <c r="A85" s="854"/>
      <c r="B85" s="855"/>
      <c r="C85" s="859"/>
      <c r="D85" s="859"/>
      <c r="E85" s="859"/>
      <c r="F85" s="859"/>
      <c r="G85" s="859"/>
      <c r="H85" s="859"/>
      <c r="I85" s="885"/>
      <c r="J85" s="834"/>
    </row>
    <row r="86" spans="1:10" ht="16.5" thickBot="1" x14ac:dyDescent="0.3">
      <c r="A86" s="849">
        <v>3300</v>
      </c>
      <c r="B86" s="850" t="s">
        <v>1205</v>
      </c>
      <c r="C86" s="852">
        <f>SUM(C87:C88)</f>
        <v>394685648.92000002</v>
      </c>
      <c r="D86" s="852">
        <f>SUM(D87:D89)</f>
        <v>602088428.19000006</v>
      </c>
      <c r="E86" s="852">
        <f>SUM(E87:E89)</f>
        <v>-602088428.19000006</v>
      </c>
      <c r="F86" s="852"/>
      <c r="G86" s="852">
        <f>SUM(G87:G89)</f>
        <v>394685648.92000002</v>
      </c>
      <c r="H86" s="852">
        <f>SUM(H87:H88)</f>
        <v>394685648.92000002</v>
      </c>
      <c r="I86" s="852">
        <f>+G86-H86</f>
        <v>0</v>
      </c>
      <c r="J86" s="853" t="e">
        <f t="shared" si="19"/>
        <v>#DIV/0!</v>
      </c>
    </row>
    <row r="87" spans="1:10" ht="15.75" thickTop="1" x14ac:dyDescent="0.2">
      <c r="A87" s="854">
        <v>3305</v>
      </c>
      <c r="B87" s="886" t="str">
        <f>+'ESTADO SIT FINANCIERA 24-23'!B70</f>
        <v>FONDOS SOCIALES CAPITALIZADOS</v>
      </c>
      <c r="C87" s="875">
        <f>+'ESTADO SIT FINANCIERA 24-23'!D70</f>
        <v>321951746.92000002</v>
      </c>
      <c r="D87" s="859">
        <v>0</v>
      </c>
      <c r="E87" s="859"/>
      <c r="F87" s="859"/>
      <c r="G87" s="859">
        <f>SUM(C87:E87)</f>
        <v>321951746.92000002</v>
      </c>
      <c r="H87" s="859">
        <v>321951746.92000002</v>
      </c>
      <c r="I87" s="859">
        <f>+G87-H87</f>
        <v>0</v>
      </c>
      <c r="J87" s="858" t="e">
        <f t="shared" si="19"/>
        <v>#DIV/0!</v>
      </c>
    </row>
    <row r="88" spans="1:10" x14ac:dyDescent="0.2">
      <c r="A88" s="854">
        <v>3395</v>
      </c>
      <c r="B88" s="855" t="s">
        <v>1207</v>
      </c>
      <c r="C88" s="859">
        <f>+'ESTADO SIT FINANCIERA 24-23'!D71</f>
        <v>72733902</v>
      </c>
      <c r="D88" s="859">
        <v>0</v>
      </c>
      <c r="E88" s="859"/>
      <c r="F88" s="859"/>
      <c r="G88" s="859">
        <f t="shared" ref="G88:G89" si="21">SUM(C88:E88)</f>
        <v>72733902</v>
      </c>
      <c r="H88" s="859">
        <v>72733902</v>
      </c>
      <c r="I88" s="859">
        <f t="shared" ref="I88:I89" si="22">+G88-H88</f>
        <v>0</v>
      </c>
      <c r="J88" s="858">
        <v>0</v>
      </c>
    </row>
    <row r="89" spans="1:10" x14ac:dyDescent="0.2">
      <c r="A89" s="854">
        <v>3301</v>
      </c>
      <c r="B89" s="855" t="s">
        <v>1408</v>
      </c>
      <c r="C89" s="859">
        <v>0</v>
      </c>
      <c r="D89" s="859">
        <v>602088428.19000006</v>
      </c>
      <c r="E89" s="859">
        <f>+(-D89)</f>
        <v>-602088428.19000006</v>
      </c>
      <c r="F89" s="859"/>
      <c r="G89" s="859">
        <f t="shared" si="21"/>
        <v>0</v>
      </c>
      <c r="H89" s="859"/>
      <c r="I89" s="859">
        <f t="shared" si="22"/>
        <v>0</v>
      </c>
      <c r="J89" s="858"/>
    </row>
    <row r="90" spans="1:10" x14ac:dyDescent="0.2">
      <c r="A90" s="854"/>
      <c r="B90" s="855"/>
      <c r="C90" s="859"/>
      <c r="D90" s="859"/>
      <c r="E90" s="859"/>
      <c r="F90" s="859"/>
      <c r="G90" s="859"/>
      <c r="H90" s="859"/>
      <c r="I90" s="885"/>
      <c r="J90" s="834"/>
    </row>
    <row r="91" spans="1:10" ht="16.5" thickBot="1" x14ac:dyDescent="0.3">
      <c r="A91" s="849">
        <v>3600</v>
      </c>
      <c r="B91" s="850" t="s">
        <v>1208</v>
      </c>
      <c r="C91" s="852">
        <f>SUM(C92:C95)</f>
        <v>2166795752</v>
      </c>
      <c r="D91" s="852">
        <f>SUM(D92:D95)</f>
        <v>345674982.56999999</v>
      </c>
      <c r="E91" s="852">
        <f>SUM(E92:E95)</f>
        <v>368689</v>
      </c>
      <c r="F91" s="852"/>
      <c r="G91" s="852">
        <f>SUM(G92:G95)</f>
        <v>2512839423.5699997</v>
      </c>
      <c r="H91" s="852">
        <f>SUM(H92:H95)</f>
        <v>2166795752</v>
      </c>
      <c r="I91" s="852">
        <f>+G91-H91</f>
        <v>346043671.56999969</v>
      </c>
      <c r="J91" s="853">
        <f t="shared" si="19"/>
        <v>6.2616251358369031</v>
      </c>
    </row>
    <row r="92" spans="1:10" ht="16.5" thickTop="1" x14ac:dyDescent="0.25">
      <c r="A92" s="854">
        <v>3735</v>
      </c>
      <c r="B92" s="833" t="s">
        <v>1405</v>
      </c>
      <c r="C92" s="859">
        <f>+'ESTADO SIT FINANCIERA 24-23'!D72</f>
        <v>524722873</v>
      </c>
      <c r="D92" s="859">
        <f>+'NUEVO EEFF CONSOLIDADO 22'!D82</f>
        <v>-368689</v>
      </c>
      <c r="E92" s="859">
        <v>368689</v>
      </c>
      <c r="F92" s="859"/>
      <c r="G92" s="859">
        <f>SUM(C92:E92)</f>
        <v>524722873</v>
      </c>
      <c r="H92" s="859">
        <v>524722873</v>
      </c>
      <c r="I92" s="859">
        <f>+G92-H92</f>
        <v>0</v>
      </c>
      <c r="J92" s="999"/>
    </row>
    <row r="93" spans="1:10" ht="15.75" x14ac:dyDescent="0.25">
      <c r="A93" s="854">
        <v>3745</v>
      </c>
      <c r="B93" s="834" t="s">
        <v>1394</v>
      </c>
      <c r="C93" s="859">
        <f>+'ESTADO SIT FINANCIERA 24-23'!D73</f>
        <v>318552865</v>
      </c>
      <c r="D93" s="859">
        <v>0</v>
      </c>
      <c r="E93" s="859"/>
      <c r="F93" s="859"/>
      <c r="G93" s="859">
        <f t="shared" ref="G93:G95" si="23">SUM(C93:E93)</f>
        <v>318552865</v>
      </c>
      <c r="H93" s="859">
        <v>318552865</v>
      </c>
      <c r="I93" s="859">
        <f t="shared" ref="I93:I94" si="24">+G93-H93</f>
        <v>0</v>
      </c>
      <c r="J93" s="999"/>
    </row>
    <row r="94" spans="1:10" ht="15.75" x14ac:dyDescent="0.25">
      <c r="A94" s="854">
        <v>3745</v>
      </c>
      <c r="B94" s="834" t="s">
        <v>1403</v>
      </c>
      <c r="C94" s="859">
        <f>+'ESTADO SIT FINANCIERA 24-23'!D74</f>
        <v>721826957</v>
      </c>
      <c r="D94" s="998">
        <v>0</v>
      </c>
      <c r="E94" s="998"/>
      <c r="F94" s="998"/>
      <c r="G94" s="859">
        <f t="shared" si="23"/>
        <v>721826957</v>
      </c>
      <c r="H94" s="998">
        <v>721826957</v>
      </c>
      <c r="I94" s="859">
        <f t="shared" si="24"/>
        <v>0</v>
      </c>
      <c r="J94" s="999"/>
    </row>
    <row r="95" spans="1:10" ht="15.75" thickBot="1" x14ac:dyDescent="0.25">
      <c r="A95" s="866">
        <v>3606</v>
      </c>
      <c r="B95" s="867" t="s">
        <v>1209</v>
      </c>
      <c r="C95" s="868">
        <f>+'ESTADO SIT FINANCIERA 24-23'!D75</f>
        <v>601693057</v>
      </c>
      <c r="D95" s="868">
        <v>346043671.56999999</v>
      </c>
      <c r="E95" s="859">
        <v>0</v>
      </c>
      <c r="F95" s="859"/>
      <c r="G95" s="859">
        <f t="shared" si="23"/>
        <v>947736728.56999993</v>
      </c>
      <c r="H95" s="868">
        <v>601693057</v>
      </c>
      <c r="I95" s="868">
        <f>+G95-H95</f>
        <v>346043671.56999993</v>
      </c>
      <c r="J95" s="878">
        <f t="shared" si="19"/>
        <v>1.7387778087954013</v>
      </c>
    </row>
    <row r="96" spans="1:10" x14ac:dyDescent="0.2">
      <c r="A96" s="1070"/>
      <c r="B96" s="1070"/>
      <c r="C96" s="1071"/>
      <c r="D96" s="1071"/>
      <c r="E96" s="1071"/>
      <c r="F96" s="1071"/>
      <c r="G96" s="1071"/>
      <c r="H96" s="1072"/>
      <c r="I96" s="1073"/>
      <c r="J96" s="837"/>
    </row>
    <row r="97" spans="1:11" x14ac:dyDescent="0.2">
      <c r="A97" s="1074"/>
      <c r="B97" s="3"/>
      <c r="C97" s="1075"/>
      <c r="D97" s="1075"/>
      <c r="E97" s="1075"/>
      <c r="F97" s="1075"/>
      <c r="G97" s="1075"/>
      <c r="H97" s="1068"/>
      <c r="J97" s="834"/>
    </row>
    <row r="98" spans="1:11" x14ac:dyDescent="0.2">
      <c r="A98" s="1074"/>
      <c r="B98" s="1076" t="s">
        <v>1091</v>
      </c>
      <c r="C98" s="1075" t="s">
        <v>1171</v>
      </c>
      <c r="D98" s="1075"/>
      <c r="E98" s="1075"/>
      <c r="F98" s="1075"/>
      <c r="G98" s="1075"/>
      <c r="H98" s="1076" t="s">
        <v>1366</v>
      </c>
      <c r="J98" s="1076"/>
      <c r="K98" s="1076"/>
    </row>
    <row r="99" spans="1:11" x14ac:dyDescent="0.2">
      <c r="A99" s="1074"/>
      <c r="B99" s="1076" t="s">
        <v>1092</v>
      </c>
      <c r="C99" s="1077" t="s">
        <v>1287</v>
      </c>
      <c r="D99" s="1077"/>
      <c r="E99" s="1077"/>
      <c r="F99" s="1077"/>
      <c r="G99" s="1077"/>
      <c r="H99" s="1076" t="s">
        <v>1365</v>
      </c>
      <c r="J99" s="1076"/>
      <c r="K99" s="1076"/>
    </row>
    <row r="100" spans="1:11" x14ac:dyDescent="0.2">
      <c r="A100" s="1074"/>
      <c r="B100" s="1076"/>
      <c r="C100" s="1076"/>
      <c r="D100" s="1076"/>
      <c r="E100" s="1076"/>
      <c r="F100" s="1076"/>
      <c r="G100" s="1076"/>
      <c r="H100" s="1076" t="s">
        <v>1371</v>
      </c>
      <c r="J100" s="1076"/>
      <c r="K100" s="1076"/>
    </row>
    <row r="101" spans="1:11" x14ac:dyDescent="0.2">
      <c r="A101" s="1074"/>
      <c r="B101" s="3"/>
      <c r="C101" s="3"/>
      <c r="D101" s="3"/>
      <c r="E101" s="3"/>
      <c r="F101" s="3"/>
      <c r="G101" s="3"/>
      <c r="H101" s="4" t="s">
        <v>1347</v>
      </c>
      <c r="I101" s="4"/>
      <c r="J101" s="4"/>
    </row>
    <row r="102" spans="1:11" x14ac:dyDescent="0.2">
      <c r="A102" s="1074"/>
      <c r="B102" s="1074"/>
      <c r="C102" s="1078"/>
      <c r="D102" s="1078"/>
      <c r="E102" s="1078"/>
      <c r="F102" s="1078"/>
      <c r="G102" s="1078"/>
    </row>
    <row r="103" spans="1:11" x14ac:dyDescent="0.2">
      <c r="A103" s="1074"/>
      <c r="B103" s="1074"/>
      <c r="C103" s="1078"/>
      <c r="D103" s="1078"/>
      <c r="E103" s="1078"/>
      <c r="F103" s="1078"/>
      <c r="G103" s="1078"/>
    </row>
    <row r="104" spans="1:11" x14ac:dyDescent="0.2">
      <c r="A104" s="1074"/>
      <c r="B104" s="1074"/>
      <c r="C104" s="1078"/>
      <c r="D104" s="1078"/>
      <c r="E104" s="1078"/>
      <c r="F104" s="1078"/>
      <c r="G104" s="1078"/>
    </row>
  </sheetData>
  <sheetProtection algorithmName="SHA-512" hashValue="Y78vSwNUAUroKrk8XkgJPpl1TSWRWkiEzOR1vhrYUMMQS276AHpborSVNvu6rqQyhb32hrXC0Tmam/esG0HKqA==" saltValue="bsJN/kXALXIkUO802au+Pg==" spinCount="100000" sheet="1" objects="1" scenarios="1"/>
  <mergeCells count="8">
    <mergeCell ref="A1:J1"/>
    <mergeCell ref="A2:J2"/>
    <mergeCell ref="A77:B77"/>
    <mergeCell ref="A5:B5"/>
    <mergeCell ref="A7:B7"/>
    <mergeCell ref="A43:B43"/>
    <mergeCell ref="A3:I3"/>
    <mergeCell ref="A4:I4"/>
  </mergeCells>
  <pageMargins left="0.7" right="0.7" top="0.75" bottom="0.75" header="0.3" footer="0.3"/>
  <pageSetup scale="39" fitToWidth="4" fitToHeight="4" orientation="landscape" r:id="rId1"/>
  <headerFooter>
    <oddFooter>&amp;C&amp;P de 2</oddFooter>
  </headerFooter>
  <rowBreaks count="1" manualBreakCount="1">
    <brk id="76" max="9" man="1"/>
  </rowBreaks>
  <colBreaks count="1" manualBreakCount="1">
    <brk id="9" max="99" man="1"/>
  </colBreaks>
  <ignoredErrors>
    <ignoredError sqref="I74 D7" formula="1"/>
  </ignoredError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D47DC-D231-44D9-8B2B-136328F82C32}">
  <sheetPr codeName="Hoja41" filterMode="1">
    <tabColor rgb="FFC00000"/>
  </sheetPr>
  <dimension ref="A1:J88"/>
  <sheetViews>
    <sheetView topLeftCell="A51" zoomScale="90" zoomScaleNormal="90" workbookViewId="0">
      <selection activeCell="D82" sqref="D82"/>
    </sheetView>
  </sheetViews>
  <sheetFormatPr baseColWidth="10" defaultRowHeight="15" x14ac:dyDescent="0.2"/>
  <cols>
    <col min="1" max="1" width="8.44140625" bestFit="1" customWidth="1"/>
    <col min="2" max="2" width="62.77734375" customWidth="1"/>
    <col min="3" max="3" width="18.5546875" style="1114" bestFit="1" customWidth="1"/>
    <col min="4" max="4" width="21.88671875" style="1114" bestFit="1" customWidth="1"/>
    <col min="5" max="5" width="31.33203125" style="1114" bestFit="1" customWidth="1"/>
    <col min="6" max="6" width="31.21875" bestFit="1" customWidth="1"/>
  </cols>
  <sheetData>
    <row r="1" spans="1:10" ht="15.75" x14ac:dyDescent="0.25">
      <c r="A1" s="1288" t="s">
        <v>1264</v>
      </c>
      <c r="B1" s="1289"/>
      <c r="C1" s="1289"/>
      <c r="D1" s="1289"/>
      <c r="E1" s="1289"/>
      <c r="F1" s="1289"/>
      <c r="G1" s="1289"/>
      <c r="H1" s="1289"/>
      <c r="I1" s="1289"/>
      <c r="J1" s="1290"/>
    </row>
    <row r="2" spans="1:10" ht="15.75" x14ac:dyDescent="0.25">
      <c r="A2" s="1291" t="s">
        <v>1213</v>
      </c>
      <c r="B2" s="1292"/>
      <c r="C2" s="1292"/>
      <c r="D2" s="1292"/>
      <c r="E2" s="1292"/>
      <c r="F2" s="1292"/>
      <c r="G2" s="1292"/>
      <c r="H2" s="1292"/>
      <c r="I2" s="1292"/>
      <c r="J2" s="1293"/>
    </row>
    <row r="3" spans="1:10" ht="16.5" thickBot="1" x14ac:dyDescent="0.3">
      <c r="A3" s="1300" t="s">
        <v>1406</v>
      </c>
      <c r="B3" s="1301"/>
      <c r="C3" s="1301"/>
      <c r="D3" s="1301"/>
      <c r="E3" s="1301"/>
      <c r="F3" s="1301"/>
      <c r="G3" s="1301"/>
      <c r="H3" s="1301"/>
      <c r="I3" s="1301"/>
      <c r="J3" s="834"/>
    </row>
    <row r="4" spans="1:10" ht="16.5" thickBot="1" x14ac:dyDescent="0.3">
      <c r="A4" s="1302" t="s">
        <v>1368</v>
      </c>
      <c r="B4" s="1303"/>
      <c r="C4" s="1303"/>
      <c r="D4" s="1303"/>
      <c r="E4" s="1303"/>
      <c r="F4" s="1303"/>
      <c r="G4" s="1303"/>
      <c r="H4" s="1303"/>
      <c r="I4" s="1304"/>
      <c r="J4" s="834"/>
    </row>
    <row r="5" spans="1:10" x14ac:dyDescent="0.2">
      <c r="A5" t="s">
        <v>1466</v>
      </c>
      <c r="B5" t="s">
        <v>1467</v>
      </c>
      <c r="C5" s="1114" t="s">
        <v>1468</v>
      </c>
      <c r="D5" s="1114" t="s">
        <v>1469</v>
      </c>
      <c r="E5" s="1114" t="s">
        <v>1470</v>
      </c>
      <c r="F5" t="s">
        <v>1471</v>
      </c>
    </row>
    <row r="6" spans="1:10" x14ac:dyDescent="0.2">
      <c r="A6" s="1115">
        <v>1000</v>
      </c>
      <c r="B6" t="s">
        <v>370</v>
      </c>
      <c r="C6" s="1116">
        <v>44061718406</v>
      </c>
      <c r="D6" s="1116">
        <v>3308169109</v>
      </c>
      <c r="E6" s="1116">
        <v>47369887515</v>
      </c>
      <c r="F6" s="1114">
        <v>41703565324.610001</v>
      </c>
    </row>
    <row r="7" spans="1:10" x14ac:dyDescent="0.2">
      <c r="A7" s="1115">
        <v>1100</v>
      </c>
      <c r="B7" t="s">
        <v>1176</v>
      </c>
      <c r="C7" s="1116">
        <v>4346931446</v>
      </c>
      <c r="D7" s="1116">
        <v>1107829127</v>
      </c>
      <c r="E7" s="1116">
        <v>5454760573</v>
      </c>
      <c r="F7" s="1114">
        <v>2148856269.4400001</v>
      </c>
    </row>
    <row r="8" spans="1:10" x14ac:dyDescent="0.2">
      <c r="A8" s="1115">
        <v>1105</v>
      </c>
      <c r="B8" t="s">
        <v>170</v>
      </c>
      <c r="C8" s="1116">
        <v>0</v>
      </c>
      <c r="D8" s="1116">
        <v>5000000</v>
      </c>
      <c r="E8" s="1116">
        <v>5000000</v>
      </c>
      <c r="F8" s="1114">
        <v>806104210.65999997</v>
      </c>
    </row>
    <row r="9" spans="1:10" x14ac:dyDescent="0.2">
      <c r="A9" s="1115">
        <v>1110</v>
      </c>
      <c r="B9" t="s">
        <v>1472</v>
      </c>
      <c r="C9" s="1116">
        <v>2827660920</v>
      </c>
      <c r="D9" s="1116">
        <v>735404743</v>
      </c>
      <c r="E9" s="1116">
        <v>3563065663</v>
      </c>
      <c r="F9" s="1114">
        <v>1342752058.78</v>
      </c>
    </row>
    <row r="10" spans="1:10" x14ac:dyDescent="0.2">
      <c r="A10" s="1115">
        <v>1120</v>
      </c>
      <c r="B10" t="s">
        <v>1473</v>
      </c>
      <c r="C10" s="1116">
        <v>1519270526</v>
      </c>
      <c r="D10" s="1116">
        <v>367424384</v>
      </c>
      <c r="E10" s="1116">
        <v>1886694910</v>
      </c>
      <c r="F10" s="1114">
        <v>900479421</v>
      </c>
    </row>
    <row r="11" spans="1:10" hidden="1" x14ac:dyDescent="0.2">
      <c r="A11" s="1115">
        <v>1200</v>
      </c>
      <c r="B11" t="s">
        <v>28</v>
      </c>
      <c r="C11" s="1116">
        <v>1009789506</v>
      </c>
      <c r="D11" s="1116">
        <v>0</v>
      </c>
      <c r="E11" s="1116">
        <v>1009789506</v>
      </c>
      <c r="F11" s="1114">
        <v>17811314</v>
      </c>
    </row>
    <row r="12" spans="1:10" hidden="1" x14ac:dyDescent="0.2">
      <c r="A12" s="1115">
        <v>1226</v>
      </c>
      <c r="B12" t="s">
        <v>1503</v>
      </c>
      <c r="C12" s="1116">
        <v>18627099</v>
      </c>
      <c r="D12" s="1116">
        <v>0</v>
      </c>
      <c r="E12" s="1116">
        <v>18627099</v>
      </c>
      <c r="F12" s="1114">
        <v>25732570</v>
      </c>
    </row>
    <row r="13" spans="1:10" hidden="1" x14ac:dyDescent="0.2">
      <c r="A13" s="1115">
        <v>1228</v>
      </c>
      <c r="B13" t="s">
        <v>1474</v>
      </c>
      <c r="C13" s="1116">
        <v>27302257</v>
      </c>
      <c r="D13" s="1116">
        <v>0</v>
      </c>
      <c r="E13" s="1116">
        <v>27302257</v>
      </c>
      <c r="F13" s="1114">
        <v>856935537</v>
      </c>
    </row>
    <row r="14" spans="1:10" hidden="1" x14ac:dyDescent="0.2">
      <c r="A14" s="1115">
        <v>1232</v>
      </c>
      <c r="B14" t="s">
        <v>1508</v>
      </c>
      <c r="C14" s="1116">
        <v>963860150</v>
      </c>
      <c r="D14" s="1116">
        <v>0</v>
      </c>
      <c r="E14" s="1116">
        <v>963860150</v>
      </c>
      <c r="F14" s="1114">
        <v>35101161197.5</v>
      </c>
    </row>
    <row r="15" spans="1:10" hidden="1" x14ac:dyDescent="0.2">
      <c r="A15" s="1115">
        <v>1400</v>
      </c>
      <c r="B15" t="s">
        <v>1475</v>
      </c>
      <c r="C15" s="1116">
        <v>36290323156</v>
      </c>
      <c r="D15" s="1116">
        <v>0</v>
      </c>
      <c r="E15" s="1116">
        <v>36290323156</v>
      </c>
      <c r="F15" s="1114">
        <v>267777292</v>
      </c>
    </row>
    <row r="16" spans="1:10" hidden="1" x14ac:dyDescent="0.2">
      <c r="A16" s="1115">
        <v>1441</v>
      </c>
      <c r="B16" t="s">
        <v>1218</v>
      </c>
      <c r="C16" s="1116">
        <v>33013498514</v>
      </c>
      <c r="D16" s="1116">
        <v>0</v>
      </c>
      <c r="E16" s="1116">
        <v>33013498514</v>
      </c>
      <c r="F16" s="1114">
        <v>32098751220.5</v>
      </c>
    </row>
    <row r="17" spans="1:6" hidden="1" x14ac:dyDescent="0.2">
      <c r="A17" s="1115">
        <v>1442</v>
      </c>
      <c r="B17" t="s">
        <v>1220</v>
      </c>
      <c r="C17" s="1116">
        <v>3648051869</v>
      </c>
      <c r="D17" s="1116">
        <v>0</v>
      </c>
      <c r="E17" s="1116">
        <v>3648051869</v>
      </c>
      <c r="F17" s="1114">
        <v>3055626962</v>
      </c>
    </row>
    <row r="18" spans="1:6" hidden="1" x14ac:dyDescent="0.2">
      <c r="A18" s="1115">
        <v>1443</v>
      </c>
      <c r="B18" t="s">
        <v>51</v>
      </c>
      <c r="C18" s="1116">
        <v>104605802</v>
      </c>
      <c r="D18" s="1116">
        <v>0</v>
      </c>
      <c r="E18" s="1116">
        <v>104605802</v>
      </c>
      <c r="F18" s="1114">
        <v>100291002</v>
      </c>
    </row>
    <row r="19" spans="1:6" hidden="1" x14ac:dyDescent="0.2">
      <c r="A19" s="1115">
        <v>1445</v>
      </c>
      <c r="B19" t="s">
        <v>1476</v>
      </c>
      <c r="C19" s="1116">
        <v>873419648</v>
      </c>
      <c r="D19" s="1116">
        <v>0</v>
      </c>
      <c r="E19" s="1116">
        <v>873419648</v>
      </c>
      <c r="F19" s="1114">
        <v>659476279</v>
      </c>
    </row>
    <row r="20" spans="1:6" hidden="1" x14ac:dyDescent="0.2">
      <c r="A20" s="1115">
        <v>1446</v>
      </c>
      <c r="B20" t="s">
        <v>1185</v>
      </c>
      <c r="C20" s="1116">
        <v>51224101</v>
      </c>
      <c r="D20" s="1116">
        <v>0</v>
      </c>
      <c r="E20" s="1116">
        <v>51224101</v>
      </c>
      <c r="F20" s="1114">
        <v>51203128</v>
      </c>
    </row>
    <row r="21" spans="1:6" hidden="1" x14ac:dyDescent="0.2">
      <c r="A21" s="1115">
        <v>1468</v>
      </c>
      <c r="B21" t="s">
        <v>1477</v>
      </c>
      <c r="C21" s="1116">
        <v>374533545</v>
      </c>
      <c r="D21" s="1116">
        <v>0</v>
      </c>
      <c r="E21" s="1116">
        <v>374533545</v>
      </c>
      <c r="F21" s="1114">
        <v>354221555</v>
      </c>
    </row>
    <row r="22" spans="1:6" hidden="1" x14ac:dyDescent="0.2">
      <c r="A22" s="1115">
        <v>1469</v>
      </c>
      <c r="B22" t="s">
        <v>1478</v>
      </c>
      <c r="C22" s="1116">
        <v>791804085</v>
      </c>
      <c r="D22" s="1116">
        <v>0</v>
      </c>
      <c r="E22" s="1116">
        <v>791804085</v>
      </c>
      <c r="F22" s="1114">
        <v>609123930</v>
      </c>
    </row>
    <row r="23" spans="1:6" hidden="1" x14ac:dyDescent="0.2">
      <c r="A23" s="1115">
        <v>1470</v>
      </c>
      <c r="B23" t="s">
        <v>1479</v>
      </c>
      <c r="C23" s="1116">
        <v>870224</v>
      </c>
      <c r="D23" s="1116">
        <v>0</v>
      </c>
      <c r="E23" s="1116">
        <v>870224</v>
      </c>
      <c r="F23" s="1114">
        <v>969100</v>
      </c>
    </row>
    <row r="24" spans="1:6" hidden="1" x14ac:dyDescent="0.2">
      <c r="A24" s="1115">
        <v>1473</v>
      </c>
      <c r="B24" t="s">
        <v>1480</v>
      </c>
      <c r="C24" s="1116">
        <v>30669956</v>
      </c>
      <c r="D24" s="1116">
        <v>0</v>
      </c>
      <c r="E24" s="1116">
        <v>30669956</v>
      </c>
      <c r="F24" s="1114">
        <v>33522653</v>
      </c>
    </row>
    <row r="25" spans="1:6" x14ac:dyDescent="0.2">
      <c r="A25" s="1115">
        <v>1600</v>
      </c>
      <c r="B25" t="s">
        <v>1189</v>
      </c>
      <c r="C25" s="1116">
        <v>1638220573</v>
      </c>
      <c r="D25" s="1116">
        <v>2093977369</v>
      </c>
      <c r="E25" s="1116">
        <v>3732197942</v>
      </c>
      <c r="F25" s="1114">
        <v>2697568860.9000001</v>
      </c>
    </row>
    <row r="26" spans="1:6" x14ac:dyDescent="0.2">
      <c r="A26" s="1115">
        <v>1605</v>
      </c>
      <c r="B26" t="s">
        <v>1481</v>
      </c>
      <c r="C26" s="1116">
        <v>0</v>
      </c>
      <c r="D26" s="1116">
        <v>1850488613</v>
      </c>
      <c r="E26" s="1116">
        <v>1850488613</v>
      </c>
      <c r="F26" s="1114">
        <v>2104425269</v>
      </c>
    </row>
    <row r="27" spans="1:6" hidden="1" x14ac:dyDescent="0.2">
      <c r="A27" s="1115">
        <v>1625</v>
      </c>
      <c r="B27" t="s">
        <v>1482</v>
      </c>
      <c r="C27" s="1116">
        <v>818596</v>
      </c>
      <c r="D27" s="1116">
        <v>0</v>
      </c>
      <c r="E27" s="1116">
        <v>818596</v>
      </c>
      <c r="F27" s="1114">
        <v>1289466</v>
      </c>
    </row>
    <row r="28" spans="1:6" hidden="1" x14ac:dyDescent="0.2">
      <c r="A28" s="1115">
        <v>1630</v>
      </c>
      <c r="B28" t="s">
        <v>1483</v>
      </c>
      <c r="C28" s="1116">
        <v>12560166</v>
      </c>
      <c r="D28" s="1116">
        <v>0</v>
      </c>
      <c r="E28" s="1116">
        <v>12560166</v>
      </c>
      <c r="F28" s="1114">
        <v>527942908.89999998</v>
      </c>
    </row>
    <row r="29" spans="1:6" x14ac:dyDescent="0.2">
      <c r="A29" s="1115">
        <v>1640</v>
      </c>
      <c r="B29" t="s">
        <v>1504</v>
      </c>
      <c r="C29" s="1116">
        <v>645780</v>
      </c>
      <c r="D29" s="1116">
        <v>243488756</v>
      </c>
      <c r="E29" s="1116">
        <v>244134536</v>
      </c>
      <c r="F29" s="1114">
        <v>63911217</v>
      </c>
    </row>
    <row r="30" spans="1:6" hidden="1" x14ac:dyDescent="0.2">
      <c r="A30" s="1115">
        <v>1650</v>
      </c>
      <c r="B30" t="s">
        <v>744</v>
      </c>
      <c r="C30" s="1116">
        <v>772597768</v>
      </c>
      <c r="D30" s="1116">
        <v>0</v>
      </c>
      <c r="E30" s="1116">
        <v>772597768</v>
      </c>
      <c r="F30" s="1114">
        <v>745531317.45000005</v>
      </c>
    </row>
    <row r="31" spans="1:6" hidden="1" x14ac:dyDescent="0.2">
      <c r="A31" s="1115">
        <v>1660</v>
      </c>
      <c r="B31" t="s">
        <v>30</v>
      </c>
      <c r="C31" s="1116">
        <v>851598263</v>
      </c>
      <c r="D31" s="1116">
        <v>0</v>
      </c>
      <c r="E31" s="1116">
        <v>851598263</v>
      </c>
      <c r="F31" s="1114">
        <v>745531317.45000005</v>
      </c>
    </row>
    <row r="32" spans="1:6" x14ac:dyDescent="0.2">
      <c r="A32" s="1115">
        <v>1700</v>
      </c>
      <c r="B32" t="s">
        <v>1191</v>
      </c>
      <c r="C32" s="1116">
        <v>682519857</v>
      </c>
      <c r="D32" s="1116">
        <v>15863427</v>
      </c>
      <c r="E32" s="1116">
        <v>698383284</v>
      </c>
      <c r="F32" s="1114">
        <v>6930714</v>
      </c>
    </row>
    <row r="33" spans="1:6" x14ac:dyDescent="0.2">
      <c r="A33" s="1115">
        <v>1705</v>
      </c>
      <c r="B33" t="s">
        <v>1484</v>
      </c>
      <c r="C33" s="1116">
        <v>682519857</v>
      </c>
      <c r="D33" s="1116">
        <v>15863427</v>
      </c>
      <c r="E33" s="1116">
        <v>698383284</v>
      </c>
      <c r="F33" s="1114">
        <v>6930714</v>
      </c>
    </row>
    <row r="34" spans="1:6" x14ac:dyDescent="0.2">
      <c r="A34" s="1115">
        <v>1900</v>
      </c>
      <c r="B34" t="s">
        <v>119</v>
      </c>
      <c r="C34" s="1116">
        <v>93933868</v>
      </c>
      <c r="D34" s="1116">
        <v>90499186</v>
      </c>
      <c r="E34" s="1116">
        <v>184433054</v>
      </c>
      <c r="F34" s="1114">
        <v>103037544.31999999</v>
      </c>
    </row>
    <row r="35" spans="1:6" hidden="1" x14ac:dyDescent="0.2">
      <c r="A35" s="1115">
        <v>1905</v>
      </c>
      <c r="B35" t="s">
        <v>1485</v>
      </c>
      <c r="C35" s="1116">
        <v>14280000</v>
      </c>
      <c r="D35" s="1116">
        <v>0</v>
      </c>
      <c r="E35" s="1116">
        <v>14280000</v>
      </c>
      <c r="F35" s="1114">
        <v>103037544.31999999</v>
      </c>
    </row>
    <row r="36" spans="1:6" x14ac:dyDescent="0.2">
      <c r="A36" s="1115">
        <v>1910</v>
      </c>
      <c r="B36" t="s">
        <v>1486</v>
      </c>
      <c r="C36" s="1116">
        <v>79653868</v>
      </c>
      <c r="D36" s="1116">
        <v>90499186</v>
      </c>
      <c r="E36" s="1116">
        <v>170153054</v>
      </c>
      <c r="F36" s="1114"/>
    </row>
    <row r="37" spans="1:6" x14ac:dyDescent="0.2">
      <c r="A37" s="1115"/>
      <c r="C37" s="1116"/>
      <c r="D37" s="1116"/>
      <c r="E37" s="1116"/>
      <c r="F37" s="1114"/>
    </row>
    <row r="38" spans="1:6" x14ac:dyDescent="0.2">
      <c r="A38" s="1115">
        <v>2000</v>
      </c>
      <c r="B38" t="s">
        <v>395</v>
      </c>
      <c r="C38" s="1116">
        <v>37705661951</v>
      </c>
      <c r="D38" s="1116">
        <v>2344307807</v>
      </c>
      <c r="E38" s="1116">
        <v>40049969758</v>
      </c>
      <c r="F38" s="1114">
        <v>34572261254.589996</v>
      </c>
    </row>
    <row r="39" spans="1:6" x14ac:dyDescent="0.2">
      <c r="A39" s="1115">
        <v>2100</v>
      </c>
      <c r="B39" t="s">
        <v>177</v>
      </c>
      <c r="C39" s="1116">
        <v>29860976437</v>
      </c>
      <c r="D39" s="1116">
        <v>0</v>
      </c>
      <c r="E39" s="1116">
        <v>29860976437</v>
      </c>
      <c r="F39" s="1114">
        <v>25767879515.84</v>
      </c>
    </row>
    <row r="40" spans="1:6" x14ac:dyDescent="0.2">
      <c r="A40" s="1115">
        <v>2105</v>
      </c>
      <c r="B40" t="s">
        <v>1302</v>
      </c>
      <c r="C40" s="1116">
        <v>214305856</v>
      </c>
      <c r="D40" s="1116">
        <v>0</v>
      </c>
      <c r="E40" s="1116">
        <v>214305856</v>
      </c>
      <c r="F40" s="1114">
        <v>234437632.37</v>
      </c>
    </row>
    <row r="41" spans="1:6" x14ac:dyDescent="0.2">
      <c r="A41" s="1115">
        <v>2110</v>
      </c>
      <c r="B41" t="s">
        <v>1487</v>
      </c>
      <c r="C41" s="1116">
        <v>11189430150</v>
      </c>
      <c r="D41" s="1116">
        <v>0</v>
      </c>
      <c r="E41" s="1116">
        <v>11189430150</v>
      </c>
      <c r="F41" s="1114">
        <v>8666261359.3899994</v>
      </c>
    </row>
    <row r="42" spans="1:6" x14ac:dyDescent="0.2">
      <c r="A42" s="1115">
        <v>2125</v>
      </c>
      <c r="B42" t="s">
        <v>1194</v>
      </c>
      <c r="C42" s="1116">
        <v>782914495</v>
      </c>
      <c r="D42" s="1116">
        <v>0</v>
      </c>
      <c r="E42" s="1116">
        <v>782914495</v>
      </c>
      <c r="F42" s="1114">
        <v>628823050</v>
      </c>
    </row>
    <row r="43" spans="1:6" x14ac:dyDescent="0.2">
      <c r="A43" s="1115">
        <v>2130</v>
      </c>
      <c r="B43" t="s">
        <v>807</v>
      </c>
      <c r="C43" s="1116">
        <v>17674325936</v>
      </c>
      <c r="D43" s="1116">
        <v>0</v>
      </c>
      <c r="E43" s="1116">
        <v>17674325936</v>
      </c>
      <c r="F43" s="1114">
        <v>16238357474.08</v>
      </c>
    </row>
    <row r="44" spans="1:6" x14ac:dyDescent="0.2">
      <c r="A44" s="1115">
        <v>2300</v>
      </c>
      <c r="B44" t="s">
        <v>1488</v>
      </c>
      <c r="C44" s="1116">
        <v>6995952684</v>
      </c>
      <c r="D44" s="1116">
        <v>928321850</v>
      </c>
      <c r="E44" s="1116">
        <v>7924274534</v>
      </c>
      <c r="F44" s="1114">
        <v>6700040471.2200003</v>
      </c>
    </row>
    <row r="45" spans="1:6" x14ac:dyDescent="0.2">
      <c r="A45" s="1115">
        <v>2308</v>
      </c>
      <c r="B45" t="s">
        <v>1196</v>
      </c>
      <c r="C45" s="1116">
        <v>6995952684</v>
      </c>
      <c r="D45" s="1116">
        <v>928321850</v>
      </c>
      <c r="E45" s="1116">
        <v>7924274534</v>
      </c>
      <c r="F45" s="1114">
        <v>6700040471.2200003</v>
      </c>
    </row>
    <row r="46" spans="1:6" x14ac:dyDescent="0.2">
      <c r="A46" s="1115">
        <v>2400</v>
      </c>
      <c r="B46" t="s">
        <v>1197</v>
      </c>
      <c r="C46" s="1116">
        <v>626521178</v>
      </c>
      <c r="D46" s="1116">
        <v>596953139</v>
      </c>
      <c r="E46" s="1116">
        <v>1223474317</v>
      </c>
      <c r="F46" s="1114">
        <v>1229268900.9000001</v>
      </c>
    </row>
    <row r="47" spans="1:6" x14ac:dyDescent="0.2">
      <c r="A47" s="1115">
        <v>2405</v>
      </c>
      <c r="B47" t="s">
        <v>1489</v>
      </c>
      <c r="C47" s="1116">
        <v>1299049</v>
      </c>
      <c r="D47" s="1116">
        <v>0</v>
      </c>
      <c r="E47" s="1116">
        <v>1299049</v>
      </c>
      <c r="F47" s="1114">
        <v>11498043</v>
      </c>
    </row>
    <row r="48" spans="1:6" x14ac:dyDescent="0.2">
      <c r="A48" s="1115">
        <v>2410</v>
      </c>
      <c r="B48" t="s">
        <v>178</v>
      </c>
      <c r="C48" s="1116">
        <v>130663607</v>
      </c>
      <c r="D48" s="1116">
        <v>0</v>
      </c>
      <c r="E48" s="1116">
        <v>130663607</v>
      </c>
      <c r="F48" s="1114">
        <v>55214766</v>
      </c>
    </row>
    <row r="49" spans="1:6" x14ac:dyDescent="0.2">
      <c r="A49" s="1115">
        <v>2420</v>
      </c>
      <c r="B49" t="s">
        <v>173</v>
      </c>
      <c r="C49" s="1116">
        <v>45666357</v>
      </c>
      <c r="D49" s="1116">
        <v>596953139</v>
      </c>
      <c r="E49" s="1116">
        <v>642619496</v>
      </c>
      <c r="F49" s="1114">
        <v>522953221</v>
      </c>
    </row>
    <row r="50" spans="1:6" x14ac:dyDescent="0.2">
      <c r="A50" s="1115">
        <v>2430</v>
      </c>
      <c r="B50" t="s">
        <v>814</v>
      </c>
      <c r="C50" s="1116">
        <v>344428</v>
      </c>
      <c r="D50" s="1116"/>
      <c r="E50" s="1116">
        <v>344428</v>
      </c>
      <c r="F50" s="1114">
        <v>398363</v>
      </c>
    </row>
    <row r="51" spans="1:6" x14ac:dyDescent="0.2">
      <c r="A51" s="1115">
        <v>2435</v>
      </c>
      <c r="B51" t="s">
        <v>179</v>
      </c>
      <c r="C51" s="1116">
        <v>25216397</v>
      </c>
      <c r="D51" s="1116">
        <v>0</v>
      </c>
      <c r="E51" s="1116">
        <v>25216397</v>
      </c>
      <c r="F51" s="1114">
        <v>26341168</v>
      </c>
    </row>
    <row r="52" spans="1:6" x14ac:dyDescent="0.2">
      <c r="A52" s="1115">
        <v>2440</v>
      </c>
      <c r="B52" t="s">
        <v>1505</v>
      </c>
      <c r="C52" s="1116">
        <v>4305200</v>
      </c>
      <c r="D52" s="1116">
        <v>0</v>
      </c>
      <c r="E52" s="1116">
        <v>4305200</v>
      </c>
      <c r="F52" s="1114">
        <v>177968375</v>
      </c>
    </row>
    <row r="53" spans="1:6" x14ac:dyDescent="0.2">
      <c r="A53" s="1115">
        <v>2445</v>
      </c>
      <c r="B53" t="s">
        <v>1198</v>
      </c>
      <c r="C53" s="1116">
        <v>29913124</v>
      </c>
      <c r="D53" s="1116"/>
      <c r="E53" s="1116">
        <v>29913124</v>
      </c>
      <c r="F53" s="1114">
        <v>38252793.030000001</v>
      </c>
    </row>
    <row r="54" spans="1:6" x14ac:dyDescent="0.2">
      <c r="A54" s="1115">
        <v>2450</v>
      </c>
      <c r="B54" t="s">
        <v>1199</v>
      </c>
      <c r="C54" s="1116">
        <v>29372023</v>
      </c>
      <c r="D54" s="1116">
        <v>0</v>
      </c>
      <c r="E54" s="1116">
        <v>29372023</v>
      </c>
      <c r="F54" s="1114">
        <v>29057983</v>
      </c>
    </row>
    <row r="55" spans="1:6" x14ac:dyDescent="0.2">
      <c r="A55" s="1115">
        <v>2460</v>
      </c>
      <c r="B55" t="s">
        <v>1200</v>
      </c>
      <c r="C55" s="1116">
        <v>24145718</v>
      </c>
      <c r="D55" s="1116">
        <v>0</v>
      </c>
      <c r="E55" s="1116">
        <v>24145718</v>
      </c>
      <c r="F55" s="1114">
        <v>33841115.079999998</v>
      </c>
    </row>
    <row r="56" spans="1:6" x14ac:dyDescent="0.2">
      <c r="A56" s="1115">
        <v>2465</v>
      </c>
      <c r="B56" t="s">
        <v>181</v>
      </c>
      <c r="C56" s="1116">
        <v>321551454</v>
      </c>
      <c r="D56" s="1116">
        <v>0</v>
      </c>
      <c r="E56" s="1116">
        <v>321551454</v>
      </c>
      <c r="F56" s="1114">
        <v>328992555</v>
      </c>
    </row>
    <row r="57" spans="1:6" x14ac:dyDescent="0.2">
      <c r="A57" s="1115">
        <v>2495</v>
      </c>
      <c r="B57" t="s">
        <v>1490</v>
      </c>
      <c r="C57" s="1116">
        <v>14043821</v>
      </c>
      <c r="D57" s="1116">
        <v>0</v>
      </c>
      <c r="E57" s="1116">
        <v>14043821</v>
      </c>
      <c r="F57" s="1114">
        <v>4750518.79</v>
      </c>
    </row>
    <row r="58" spans="1:6" x14ac:dyDescent="0.2">
      <c r="A58" s="1115">
        <v>2500</v>
      </c>
      <c r="B58" t="s">
        <v>1491</v>
      </c>
      <c r="C58" s="1116">
        <v>0</v>
      </c>
      <c r="D58" s="1116">
        <v>399025960</v>
      </c>
      <c r="E58" s="1116">
        <v>399025960</v>
      </c>
      <c r="F58" s="1114">
        <v>12050025</v>
      </c>
    </row>
    <row r="59" spans="1:6" x14ac:dyDescent="0.2">
      <c r="A59" s="1115">
        <v>2600</v>
      </c>
      <c r="B59" t="s">
        <v>1201</v>
      </c>
      <c r="C59" s="1116">
        <v>140447649</v>
      </c>
      <c r="D59" s="1116">
        <v>0</v>
      </c>
      <c r="E59" s="1116">
        <v>140447649</v>
      </c>
      <c r="F59" s="1114">
        <v>155742807.66999999</v>
      </c>
    </row>
    <row r="60" spans="1:6" x14ac:dyDescent="0.2">
      <c r="A60" s="1115">
        <v>2610</v>
      </c>
      <c r="B60" t="s">
        <v>273</v>
      </c>
      <c r="C60" s="1116">
        <v>10151778</v>
      </c>
      <c r="D60" s="1116">
        <v>0</v>
      </c>
      <c r="E60" s="1116">
        <v>10151778</v>
      </c>
      <c r="F60" s="1114">
        <v>24736410.670000002</v>
      </c>
    </row>
    <row r="61" spans="1:6" x14ac:dyDescent="0.2">
      <c r="A61" s="1115">
        <v>2652</v>
      </c>
      <c r="B61" t="s">
        <v>1212</v>
      </c>
      <c r="C61" s="1116">
        <v>130295871</v>
      </c>
      <c r="D61" s="1116">
        <v>0</v>
      </c>
      <c r="E61" s="1116">
        <v>130295871</v>
      </c>
      <c r="F61" s="1114">
        <v>131006397</v>
      </c>
    </row>
    <row r="62" spans="1:6" x14ac:dyDescent="0.2">
      <c r="A62" s="1115">
        <v>2700</v>
      </c>
      <c r="B62" t="s">
        <v>40</v>
      </c>
      <c r="C62" s="1116">
        <v>81764003</v>
      </c>
      <c r="D62" s="1116">
        <v>403656658</v>
      </c>
      <c r="E62" s="1116">
        <v>485420661</v>
      </c>
      <c r="F62" s="1114">
        <v>700248087.96000004</v>
      </c>
    </row>
    <row r="63" spans="1:6" x14ac:dyDescent="0.2">
      <c r="A63" s="1115">
        <v>2710</v>
      </c>
      <c r="B63" t="s">
        <v>1217</v>
      </c>
      <c r="C63" s="1116">
        <v>68565622</v>
      </c>
      <c r="D63" s="1116">
        <v>25569415</v>
      </c>
      <c r="E63" s="1116">
        <v>94135037</v>
      </c>
      <c r="F63" s="1114">
        <v>97687934</v>
      </c>
    </row>
    <row r="64" spans="1:6" x14ac:dyDescent="0.2">
      <c r="A64" s="1115">
        <v>2720</v>
      </c>
      <c r="B64" t="s">
        <v>1492</v>
      </c>
      <c r="C64" s="1116">
        <v>8401414</v>
      </c>
      <c r="D64" s="1116">
        <v>580409</v>
      </c>
      <c r="E64" s="1116">
        <v>8981823</v>
      </c>
      <c r="F64" s="1114">
        <v>10426318</v>
      </c>
    </row>
    <row r="65" spans="1:6" x14ac:dyDescent="0.2">
      <c r="A65" s="1115">
        <v>2725</v>
      </c>
      <c r="B65" t="s">
        <v>854</v>
      </c>
      <c r="C65" s="1116">
        <v>4796967</v>
      </c>
      <c r="D65" s="1116">
        <v>0</v>
      </c>
      <c r="E65" s="1116">
        <v>4796967</v>
      </c>
      <c r="F65" s="1114">
        <v>80134992.959999993</v>
      </c>
    </row>
    <row r="66" spans="1:6" x14ac:dyDescent="0.2">
      <c r="A66" s="1115">
        <v>2765</v>
      </c>
      <c r="B66" t="s">
        <v>1493</v>
      </c>
      <c r="C66" s="1116">
        <v>0</v>
      </c>
      <c r="D66" s="1116">
        <v>377506834</v>
      </c>
      <c r="E66" s="1116">
        <v>377506834</v>
      </c>
      <c r="F66" s="1114">
        <v>511998843</v>
      </c>
    </row>
    <row r="67" spans="1:6" x14ac:dyDescent="0.2">
      <c r="A67" s="1115">
        <v>2800</v>
      </c>
      <c r="B67" t="s">
        <v>202</v>
      </c>
      <c r="C67" s="1116">
        <v>0</v>
      </c>
      <c r="D67" s="1116">
        <v>16350200</v>
      </c>
      <c r="E67" s="1116">
        <v>16350200</v>
      </c>
      <c r="F67" s="1114">
        <v>7031446</v>
      </c>
    </row>
    <row r="68" spans="1:6" x14ac:dyDescent="0.2">
      <c r="A68" s="1115">
        <v>2833</v>
      </c>
      <c r="B68" t="s">
        <v>1494</v>
      </c>
      <c r="C68" s="1116">
        <v>0</v>
      </c>
      <c r="D68" s="1116">
        <v>16350200</v>
      </c>
      <c r="E68" s="1116">
        <v>16350200</v>
      </c>
      <c r="F68" s="1114">
        <v>7031446</v>
      </c>
    </row>
    <row r="69" spans="1:6" x14ac:dyDescent="0.2">
      <c r="A69" s="1115"/>
      <c r="C69" s="1116"/>
      <c r="D69" s="1116"/>
      <c r="E69" s="1116"/>
      <c r="F69" s="1114"/>
    </row>
    <row r="70" spans="1:6" x14ac:dyDescent="0.2">
      <c r="A70" s="1115">
        <v>3000</v>
      </c>
      <c r="B70" t="s">
        <v>185</v>
      </c>
      <c r="C70" s="1116">
        <v>6356056455</v>
      </c>
      <c r="D70" s="1116">
        <v>963861302</v>
      </c>
      <c r="E70" s="1116">
        <v>7319917757</v>
      </c>
      <c r="F70" s="1114">
        <v>7131304070.0200005</v>
      </c>
    </row>
    <row r="71" spans="1:6" x14ac:dyDescent="0.2">
      <c r="A71" s="1115">
        <v>3100</v>
      </c>
      <c r="B71" t="s">
        <v>863</v>
      </c>
      <c r="C71" s="1116">
        <v>2603406321</v>
      </c>
      <c r="D71" s="1116">
        <v>269525152</v>
      </c>
      <c r="E71" s="1116">
        <v>2872931473</v>
      </c>
      <c r="F71" s="1114">
        <v>2816650953</v>
      </c>
    </row>
    <row r="72" spans="1:6" x14ac:dyDescent="0.2">
      <c r="A72" s="1115">
        <v>3105</v>
      </c>
      <c r="B72" t="s">
        <v>1413</v>
      </c>
      <c r="C72" s="1116">
        <v>1095406321</v>
      </c>
      <c r="D72" s="1116">
        <v>269525152</v>
      </c>
      <c r="E72" s="1116">
        <v>1364931473</v>
      </c>
      <c r="F72" s="1114">
        <v>1516650953</v>
      </c>
    </row>
    <row r="73" spans="1:6" x14ac:dyDescent="0.2">
      <c r="A73" s="1115">
        <v>3110</v>
      </c>
      <c r="B73" t="s">
        <v>1495</v>
      </c>
      <c r="C73" s="1116">
        <v>1508000000</v>
      </c>
      <c r="D73" s="1116">
        <v>0</v>
      </c>
      <c r="E73" s="1116">
        <v>1508000000</v>
      </c>
      <c r="F73" s="1114">
        <v>1300000000</v>
      </c>
    </row>
    <row r="74" spans="1:6" x14ac:dyDescent="0.2">
      <c r="A74" s="1115">
        <v>3200</v>
      </c>
      <c r="B74" t="s">
        <v>1204</v>
      </c>
      <c r="C74" s="1116">
        <v>1906105723</v>
      </c>
      <c r="D74" s="1116">
        <v>92616411</v>
      </c>
      <c r="E74" s="1116">
        <v>1998722134</v>
      </c>
      <c r="F74" s="1114">
        <v>1920143184.6500001</v>
      </c>
    </row>
    <row r="75" spans="1:6" x14ac:dyDescent="0.2">
      <c r="A75" s="1115">
        <v>3205</v>
      </c>
      <c r="B75" t="s">
        <v>1496</v>
      </c>
      <c r="C75" s="1116">
        <v>1043812938</v>
      </c>
      <c r="D75" s="1116">
        <v>0</v>
      </c>
      <c r="E75" s="1116">
        <v>1043812938</v>
      </c>
      <c r="F75" s="1114">
        <v>1043812937.11</v>
      </c>
    </row>
    <row r="76" spans="1:6" x14ac:dyDescent="0.2">
      <c r="A76" s="1115">
        <v>3225</v>
      </c>
      <c r="B76" t="s">
        <v>43</v>
      </c>
      <c r="C76" s="1116">
        <v>862292785</v>
      </c>
      <c r="D76" s="1116">
        <v>92616411</v>
      </c>
      <c r="E76" s="1116">
        <v>954909196</v>
      </c>
      <c r="F76" s="1114">
        <v>876330247.53999996</v>
      </c>
    </row>
    <row r="77" spans="1:6" x14ac:dyDescent="0.2">
      <c r="A77" s="1115">
        <v>3300</v>
      </c>
      <c r="B77" t="s">
        <v>1497</v>
      </c>
      <c r="C77" s="1116">
        <v>394685648</v>
      </c>
      <c r="D77" s="1116">
        <v>0</v>
      </c>
      <c r="E77" s="1116">
        <v>394685648</v>
      </c>
      <c r="F77" s="1114">
        <v>394685648.92000002</v>
      </c>
    </row>
    <row r="78" spans="1:6" x14ac:dyDescent="0.2">
      <c r="A78" s="1115">
        <v>3330</v>
      </c>
      <c r="B78" t="s">
        <v>871</v>
      </c>
      <c r="C78" s="1116">
        <v>321951746</v>
      </c>
      <c r="D78" s="1116">
        <v>0</v>
      </c>
      <c r="E78" s="1116">
        <v>321951746</v>
      </c>
      <c r="F78" s="1114">
        <v>321951746.92000002</v>
      </c>
    </row>
    <row r="79" spans="1:6" x14ac:dyDescent="0.2">
      <c r="A79" s="1115">
        <v>3395</v>
      </c>
      <c r="B79" t="s">
        <v>1207</v>
      </c>
      <c r="C79" s="1116">
        <v>72733902</v>
      </c>
      <c r="D79" s="1116">
        <v>0</v>
      </c>
      <c r="E79" s="1116">
        <v>72733902</v>
      </c>
      <c r="F79" s="1114">
        <v>72733902</v>
      </c>
    </row>
    <row r="80" spans="1:6" x14ac:dyDescent="0.2">
      <c r="A80" s="1115">
        <v>3500</v>
      </c>
      <c r="B80" t="s">
        <v>1498</v>
      </c>
      <c r="C80" s="1116">
        <v>232799740</v>
      </c>
      <c r="D80" s="1116">
        <v>106924613</v>
      </c>
      <c r="E80" s="1116">
        <v>339724353</v>
      </c>
      <c r="F80" s="1114">
        <v>661753419.45000005</v>
      </c>
    </row>
    <row r="81" spans="1:6" x14ac:dyDescent="0.2">
      <c r="A81" s="1115">
        <v>3505</v>
      </c>
      <c r="B81" t="s">
        <v>1209</v>
      </c>
      <c r="C81" s="1116">
        <v>232799740</v>
      </c>
      <c r="D81" s="1116">
        <v>106924613</v>
      </c>
      <c r="E81" s="1116">
        <v>339724353</v>
      </c>
      <c r="F81" s="1114">
        <v>661753419.45000005</v>
      </c>
    </row>
    <row r="82" spans="1:6" x14ac:dyDescent="0.2">
      <c r="A82" s="1115">
        <v>3600</v>
      </c>
      <c r="B82" t="s">
        <v>1499</v>
      </c>
      <c r="C82" s="1116">
        <v>0</v>
      </c>
      <c r="D82" s="1116">
        <v>-368689</v>
      </c>
      <c r="E82" s="1116">
        <v>-368689</v>
      </c>
      <c r="F82" s="1114">
        <v>-368689</v>
      </c>
    </row>
    <row r="83" spans="1:6" x14ac:dyDescent="0.2">
      <c r="A83" s="1115">
        <v>3610</v>
      </c>
      <c r="B83" t="s">
        <v>1500</v>
      </c>
      <c r="C83" s="1116">
        <v>0</v>
      </c>
      <c r="D83" s="1116">
        <v>368689</v>
      </c>
      <c r="E83" s="1116">
        <v>368689</v>
      </c>
      <c r="F83" s="1114">
        <v>368689</v>
      </c>
    </row>
    <row r="84" spans="1:6" x14ac:dyDescent="0.2">
      <c r="A84" s="1115">
        <v>3700</v>
      </c>
      <c r="B84" t="s">
        <v>1501</v>
      </c>
      <c r="C84" s="1116">
        <v>1219059023</v>
      </c>
      <c r="D84" s="1116">
        <v>0</v>
      </c>
      <c r="E84" s="1116">
        <v>1219059023</v>
      </c>
      <c r="F84" s="1114">
        <v>1112134410</v>
      </c>
    </row>
    <row r="85" spans="1:6" x14ac:dyDescent="0.2">
      <c r="A85" s="1115">
        <v>3705</v>
      </c>
      <c r="B85" t="s">
        <v>1507</v>
      </c>
      <c r="C85" s="1116">
        <v>524722873</v>
      </c>
      <c r="D85" s="1116">
        <v>0</v>
      </c>
      <c r="E85" s="1116">
        <v>524722873</v>
      </c>
      <c r="F85" s="1114">
        <v>524722873</v>
      </c>
    </row>
    <row r="86" spans="1:6" x14ac:dyDescent="0.2">
      <c r="A86" s="1115">
        <v>3735</v>
      </c>
      <c r="B86" t="s">
        <v>1506</v>
      </c>
      <c r="C86" s="1116">
        <v>694336150</v>
      </c>
      <c r="D86" s="1116">
        <v>0</v>
      </c>
      <c r="E86" s="1116">
        <v>694336150</v>
      </c>
      <c r="F86" s="1114">
        <v>587411537</v>
      </c>
    </row>
    <row r="87" spans="1:6" x14ac:dyDescent="0.2">
      <c r="A87" s="1115">
        <v>3900</v>
      </c>
      <c r="B87" t="s">
        <v>1502</v>
      </c>
      <c r="C87" s="1116">
        <v>0</v>
      </c>
      <c r="D87" s="1116">
        <v>495163815</v>
      </c>
      <c r="E87" s="1116">
        <v>495163815</v>
      </c>
      <c r="F87" s="1114">
        <v>226305143</v>
      </c>
    </row>
    <row r="88" spans="1:6" x14ac:dyDescent="0.2">
      <c r="A88" s="1115">
        <v>3905</v>
      </c>
      <c r="B88" t="s">
        <v>1209</v>
      </c>
      <c r="C88" s="1116">
        <v>0</v>
      </c>
      <c r="D88" s="1116">
        <v>495163815</v>
      </c>
      <c r="E88" s="1116">
        <v>495163815</v>
      </c>
      <c r="F88" s="1114">
        <v>226305143</v>
      </c>
    </row>
  </sheetData>
  <autoFilter ref="A5:F36" xr:uid="{D62D47DC-D231-44D9-8B2B-136328F82C32}">
    <filterColumn colId="3">
      <filters>
        <filter val="$ 1.107.829.127"/>
        <filter val="$ 1.850.488.613"/>
        <filter val="$ 15.863.427"/>
        <filter val="$ 2.093.977.369"/>
        <filter val="$ 243.488.756"/>
        <filter val="$ 3.308.169.109"/>
        <filter val="$ 367.424.384"/>
        <filter val="$ 5.000.000"/>
        <filter val="$ 735.404.743"/>
        <filter val="$ 90.499.186"/>
      </filters>
    </filterColumn>
  </autoFilter>
  <mergeCells count="4">
    <mergeCell ref="A1:J1"/>
    <mergeCell ref="A2:J2"/>
    <mergeCell ref="A3:I3"/>
    <mergeCell ref="A4:I4"/>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76C6A-29D7-499A-B040-7F7C65F150F7}">
  <sheetPr codeName="Hoja42">
    <tabColor rgb="FF92D050"/>
    <pageSetUpPr fitToPage="1"/>
  </sheetPr>
  <dimension ref="A1:L47"/>
  <sheetViews>
    <sheetView zoomScale="90" zoomScaleNormal="90" zoomScaleSheetLayoutView="110" workbookViewId="0">
      <selection activeCell="B7" sqref="B7"/>
    </sheetView>
  </sheetViews>
  <sheetFormatPr baseColWidth="10" defaultRowHeight="15" x14ac:dyDescent="0.2"/>
  <cols>
    <col min="1" max="1" width="48.77734375" bestFit="1" customWidth="1"/>
    <col min="2" max="2" width="20.88671875" bestFit="1" customWidth="1"/>
    <col min="3" max="3" width="17.5546875" bestFit="1" customWidth="1"/>
    <col min="4" max="4" width="17.5546875" customWidth="1"/>
    <col min="5" max="5" width="18.88671875" bestFit="1" customWidth="1"/>
    <col min="6" max="6" width="19.44140625" bestFit="1" customWidth="1"/>
    <col min="7" max="7" width="8.44140625" bestFit="1" customWidth="1"/>
  </cols>
  <sheetData>
    <row r="1" spans="1:10" x14ac:dyDescent="0.2">
      <c r="A1" s="1278" t="str">
        <f>+'EST CAMBIO PATRIMONIO 24-23'!A1:E1</f>
        <v>FONDO DE EMPLEADOS DEL SECTOR INDUSTRIAL, TURISTICO, COMERCIAL Y DE SERVICIOS</v>
      </c>
      <c r="B1" s="1278"/>
      <c r="C1" s="1278"/>
      <c r="D1" s="1278"/>
      <c r="E1" s="1278"/>
      <c r="F1" s="1278"/>
      <c r="G1" s="1278"/>
    </row>
    <row r="2" spans="1:10" x14ac:dyDescent="0.2">
      <c r="A2" s="1278" t="s">
        <v>1422</v>
      </c>
      <c r="B2" s="1278"/>
      <c r="C2" s="1278"/>
      <c r="D2" s="1278"/>
      <c r="E2" s="1278"/>
      <c r="F2" s="1278"/>
      <c r="G2" s="1278"/>
    </row>
    <row r="3" spans="1:10" x14ac:dyDescent="0.2">
      <c r="A3" s="1278" t="s">
        <v>1535</v>
      </c>
      <c r="B3" s="1278"/>
      <c r="C3" s="1278"/>
      <c r="D3" s="1278"/>
      <c r="E3" s="1278"/>
      <c r="F3" s="1278"/>
      <c r="G3" s="1278"/>
    </row>
    <row r="4" spans="1:10" ht="15.75" thickBot="1" x14ac:dyDescent="0.25">
      <c r="A4" s="833"/>
      <c r="B4" s="833"/>
      <c r="C4" s="1278" t="s">
        <v>1368</v>
      </c>
      <c r="D4" s="1278"/>
      <c r="E4" s="1278"/>
      <c r="F4" s="1278"/>
      <c r="G4" s="1278"/>
    </row>
    <row r="5" spans="1:10" ht="15.75" thickBot="1" x14ac:dyDescent="0.25">
      <c r="A5" s="1284" t="s">
        <v>1104</v>
      </c>
      <c r="B5" s="1285"/>
      <c r="C5" s="1285"/>
      <c r="D5" s="1285"/>
      <c r="E5" s="1285"/>
      <c r="F5" s="1285"/>
      <c r="G5" s="1286"/>
    </row>
    <row r="6" spans="1:10" ht="16.5" thickBot="1" x14ac:dyDescent="0.25">
      <c r="A6" s="908" t="s">
        <v>1104</v>
      </c>
      <c r="B6" s="908" t="s">
        <v>1540</v>
      </c>
      <c r="C6" s="908" t="s">
        <v>1541</v>
      </c>
      <c r="D6" s="908" t="s">
        <v>1537</v>
      </c>
      <c r="E6" s="908" t="s">
        <v>1509</v>
      </c>
      <c r="F6" s="908" t="s">
        <v>1063</v>
      </c>
      <c r="G6" s="908" t="s">
        <v>1105</v>
      </c>
    </row>
    <row r="7" spans="1:10" x14ac:dyDescent="0.2">
      <c r="A7" s="844" t="s">
        <v>1431</v>
      </c>
      <c r="B7" s="889">
        <f>+'PYG COMPARTIVO 24-23'!C80</f>
        <v>601693056.97999978</v>
      </c>
      <c r="C7" s="889">
        <f>+'consolidado balance sas 24-23'!D91</f>
        <v>345674982.56999999</v>
      </c>
      <c r="D7" s="889">
        <f>SUM(B7:C7)</f>
        <v>947368039.54999971</v>
      </c>
      <c r="E7" s="889">
        <v>339355663.95999962</v>
      </c>
      <c r="F7" s="889">
        <f>+B7-C7</f>
        <v>256018074.40999979</v>
      </c>
      <c r="G7" s="909">
        <f>+F7/C7</f>
        <v>0.74063234922751608</v>
      </c>
    </row>
    <row r="8" spans="1:10" x14ac:dyDescent="0.2">
      <c r="A8" s="844" t="s">
        <v>1423</v>
      </c>
      <c r="B8" s="889"/>
      <c r="C8" s="889"/>
      <c r="D8" s="889"/>
      <c r="E8" s="889"/>
      <c r="F8" s="889"/>
      <c r="G8" s="909"/>
    </row>
    <row r="9" spans="1:10" x14ac:dyDescent="0.2">
      <c r="A9" s="844" t="s">
        <v>1432</v>
      </c>
      <c r="B9" s="889">
        <f>+'PYG COMPARTIVO 24-23'!C60</f>
        <v>99107469</v>
      </c>
      <c r="C9" s="889">
        <v>4787879</v>
      </c>
      <c r="D9" s="889">
        <f t="shared" ref="D9:D10" si="0">SUM(B9:C9)</f>
        <v>103895348</v>
      </c>
      <c r="E9" s="889">
        <v>89337612</v>
      </c>
      <c r="F9" s="889">
        <f>+B9-C9</f>
        <v>94319590</v>
      </c>
      <c r="G9" s="909">
        <v>-0.44237430744479345</v>
      </c>
    </row>
    <row r="10" spans="1:10" ht="15.75" thickBot="1" x14ac:dyDescent="0.25">
      <c r="A10" s="844" t="s">
        <v>1430</v>
      </c>
      <c r="B10" s="889">
        <f>-'PYG COMPARTIVO 24-23'!C9</f>
        <v>-319408338</v>
      </c>
      <c r="C10" s="889">
        <v>0</v>
      </c>
      <c r="D10" s="889">
        <f t="shared" si="0"/>
        <v>-319408338</v>
      </c>
      <c r="E10" s="889">
        <v>-229723982</v>
      </c>
      <c r="F10" s="889">
        <f>+B10-C10</f>
        <v>-319408338</v>
      </c>
      <c r="G10" s="909">
        <v>1</v>
      </c>
    </row>
    <row r="11" spans="1:10" ht="16.5" thickBot="1" x14ac:dyDescent="0.3">
      <c r="A11" s="910" t="s">
        <v>1109</v>
      </c>
      <c r="B11" s="911">
        <f>+B7+B9+B10</f>
        <v>381392187.97999978</v>
      </c>
      <c r="C11" s="911">
        <f>+C7+C9+C10</f>
        <v>350462861.56999999</v>
      </c>
      <c r="D11" s="911">
        <f>+D7+D9+D10</f>
        <v>731855049.54999971</v>
      </c>
      <c r="E11" s="911">
        <f>+E7+E9+E10</f>
        <v>198969293.95999962</v>
      </c>
      <c r="F11" s="911">
        <f>+F7+F9+F10</f>
        <v>30929326.409999788</v>
      </c>
      <c r="G11" s="912">
        <f>+F11/C11</f>
        <v>8.8252793096086996E-2</v>
      </c>
    </row>
    <row r="12" spans="1:10" ht="16.5" thickBot="1" x14ac:dyDescent="0.3">
      <c r="A12" s="913"/>
      <c r="B12" s="186"/>
      <c r="C12" s="893"/>
      <c r="D12" s="893"/>
      <c r="E12" s="893"/>
      <c r="F12" s="893"/>
      <c r="G12" s="909"/>
      <c r="J12" t="s">
        <v>31</v>
      </c>
    </row>
    <row r="13" spans="1:10" ht="16.5" thickBot="1" x14ac:dyDescent="0.3">
      <c r="A13" s="914" t="s">
        <v>1110</v>
      </c>
      <c r="B13" s="186"/>
      <c r="C13" s="893"/>
      <c r="D13" s="893"/>
      <c r="E13" s="893"/>
      <c r="F13" s="889"/>
      <c r="G13" s="909"/>
    </row>
    <row r="14" spans="1:10" x14ac:dyDescent="0.2">
      <c r="A14" s="961" t="s">
        <v>1510</v>
      </c>
      <c r="B14" s="889">
        <f>+('ESTADO SIT FINANCIERA 24-23'!F17+'ESTADO SIT FINANCIERA 24-23'!F15+'ESTADO SIT FINANCIERA 24-23'!F14+'ESTADO SIT FINANCIERA 24-23'!F10+'ESTADO SIT FINANCIERA 24-23'!F23+'ESTADO SIT FINANCIERA 24-23'!F12)</f>
        <v>972219047</v>
      </c>
      <c r="C14" s="889">
        <v>-253936656</v>
      </c>
      <c r="D14" s="889">
        <f>SUM(B14:C14)</f>
        <v>718282391</v>
      </c>
      <c r="E14" s="889">
        <v>2050196184.0999999</v>
      </c>
      <c r="F14" s="889">
        <f>+B14-C14</f>
        <v>1226155703</v>
      </c>
      <c r="G14" s="909">
        <f t="shared" ref="G14:G19" si="1">+F14/C14</f>
        <v>-4.8285888391000942</v>
      </c>
    </row>
    <row r="15" spans="1:10" x14ac:dyDescent="0.2">
      <c r="A15" s="961" t="s">
        <v>1542</v>
      </c>
      <c r="B15" s="889">
        <f>+('ESTADO SIT FINANCIERA 24-23'!F39)</f>
        <v>7888668.9999999925</v>
      </c>
      <c r="C15" s="889">
        <v>57476950</v>
      </c>
      <c r="D15" s="889">
        <f t="shared" ref="D15:D18" si="2">SUM(B15:C15)</f>
        <v>65365618.999999993</v>
      </c>
      <c r="E15" s="889">
        <v>103164860</v>
      </c>
      <c r="F15" s="889">
        <f>+B15-C15</f>
        <v>-49588281.000000007</v>
      </c>
      <c r="G15" s="909">
        <f t="shared" si="1"/>
        <v>-0.86275073746954223</v>
      </c>
    </row>
    <row r="16" spans="1:10" x14ac:dyDescent="0.2">
      <c r="A16" s="961" t="s">
        <v>1543</v>
      </c>
      <c r="B16" s="889">
        <f>+'ESTADO SIT FINANCIERA 24-23'!F55</f>
        <v>-319827868.43000031</v>
      </c>
      <c r="C16" s="889">
        <v>221057585</v>
      </c>
      <c r="D16" s="889">
        <f t="shared" si="2"/>
        <v>-98770283.430000305</v>
      </c>
      <c r="E16" s="889">
        <v>5963201740.2000008</v>
      </c>
      <c r="F16" s="889">
        <f>+B16-C16</f>
        <v>-540885453.43000031</v>
      </c>
      <c r="G16" s="909">
        <f t="shared" si="1"/>
        <v>-2.4468079366288213</v>
      </c>
    </row>
    <row r="17" spans="1:7" x14ac:dyDescent="0.2">
      <c r="A17" s="844" t="s">
        <v>1424</v>
      </c>
      <c r="B17" s="915">
        <f>+'ESTADO SIT FINANCIERA 24-23'!E75</f>
        <v>232799740</v>
      </c>
      <c r="C17" s="915">
        <v>0</v>
      </c>
      <c r="D17" s="915">
        <f t="shared" si="2"/>
        <v>232799740</v>
      </c>
      <c r="E17" s="915">
        <v>392894747</v>
      </c>
      <c r="F17" s="915">
        <f>+B17-C17</f>
        <v>232799740</v>
      </c>
      <c r="G17" s="909">
        <v>0</v>
      </c>
    </row>
    <row r="18" spans="1:7" ht="15.75" thickBot="1" x14ac:dyDescent="0.25">
      <c r="A18" s="844" t="s">
        <v>1115</v>
      </c>
      <c r="B18" s="889">
        <f>SUM(B14:B17)</f>
        <v>893079587.56999969</v>
      </c>
      <c r="C18" s="889">
        <f>SUM(C14:C17)</f>
        <v>24597879</v>
      </c>
      <c r="D18" s="889">
        <f t="shared" si="2"/>
        <v>917677466.56999969</v>
      </c>
      <c r="E18" s="889">
        <v>8509457531.3000011</v>
      </c>
      <c r="F18" s="889">
        <f>+B18-C18</f>
        <v>868481708.56999969</v>
      </c>
      <c r="G18" s="909">
        <f t="shared" si="1"/>
        <v>35.307178662436698</v>
      </c>
    </row>
    <row r="19" spans="1:7" ht="16.5" thickBot="1" x14ac:dyDescent="0.3">
      <c r="A19" s="910" t="s">
        <v>1116</v>
      </c>
      <c r="B19" s="911">
        <f>+B11+B18</f>
        <v>1274471775.5499995</v>
      </c>
      <c r="C19" s="911">
        <f>+C11+C18</f>
        <v>375060740.56999999</v>
      </c>
      <c r="D19" s="911">
        <f>+D11+D18</f>
        <v>1649532516.1199994</v>
      </c>
      <c r="E19" s="911">
        <f>+E11+E18</f>
        <v>8708426825.2600002</v>
      </c>
      <c r="F19" s="911">
        <f>+F11+F18</f>
        <v>899411034.97999954</v>
      </c>
      <c r="G19" s="916">
        <f t="shared" si="1"/>
        <v>2.3980410042733777</v>
      </c>
    </row>
    <row r="20" spans="1:7" ht="16.5" thickBot="1" x14ac:dyDescent="0.3">
      <c r="A20" s="913"/>
      <c r="B20" s="186"/>
      <c r="C20" s="893"/>
      <c r="D20" s="893"/>
      <c r="E20" s="893"/>
      <c r="F20" s="893"/>
      <c r="G20" s="917"/>
    </row>
    <row r="21" spans="1:7" ht="15.75" thickBot="1" x14ac:dyDescent="0.25">
      <c r="A21" s="1284" t="s">
        <v>1117</v>
      </c>
      <c r="B21" s="1285"/>
      <c r="C21" s="1285"/>
      <c r="D21" s="1285"/>
      <c r="E21" s="1285"/>
      <c r="F21" s="1285"/>
      <c r="G21" s="1286"/>
    </row>
    <row r="22" spans="1:7" ht="16.5" thickBot="1" x14ac:dyDescent="0.25">
      <c r="A22" s="908" t="s">
        <v>1117</v>
      </c>
      <c r="B22" s="908" t="s">
        <v>1540</v>
      </c>
      <c r="C22" s="908" t="s">
        <v>1541</v>
      </c>
      <c r="D22" s="908" t="s">
        <v>1537</v>
      </c>
      <c r="E22" s="908" t="s">
        <v>1509</v>
      </c>
      <c r="F22" s="908" t="s">
        <v>1063</v>
      </c>
      <c r="G22" s="908" t="s">
        <v>1105</v>
      </c>
    </row>
    <row r="23" spans="1:7" x14ac:dyDescent="0.2">
      <c r="A23" s="844" t="s">
        <v>1544</v>
      </c>
      <c r="B23" s="918">
        <f>+'ESTADO SIT FINANCIERA 24-23'!F6</f>
        <v>32574585.960000038</v>
      </c>
      <c r="C23" s="889">
        <v>-134493010</v>
      </c>
      <c r="D23" s="889">
        <f>SUM(B23:C23)</f>
        <v>-101918424.03999996</v>
      </c>
      <c r="E23" s="889">
        <v>1933317736.6500001</v>
      </c>
      <c r="F23" s="889">
        <f>+B23-C23</f>
        <v>167067595.96000004</v>
      </c>
      <c r="G23" s="909">
        <f>+F23/C23</f>
        <v>-1.2422028175293276</v>
      </c>
    </row>
    <row r="24" spans="1:7" x14ac:dyDescent="0.2">
      <c r="A24" s="844" t="s">
        <v>1545</v>
      </c>
      <c r="B24" s="889">
        <f>+'ESTADO SIT FINANCIERA 24-23'!F20</f>
        <v>-27302257</v>
      </c>
      <c r="C24" s="889">
        <v>0</v>
      </c>
      <c r="D24" s="889">
        <f t="shared" ref="D24:D26" si="3">SUM(B24:C24)</f>
        <v>-27302257</v>
      </c>
      <c r="E24" s="889">
        <v>2605104</v>
      </c>
      <c r="F24" s="889">
        <f>+B24-C24</f>
        <v>-27302257</v>
      </c>
      <c r="G24" s="909">
        <v>0</v>
      </c>
    </row>
    <row r="25" spans="1:7" x14ac:dyDescent="0.2">
      <c r="A25" s="844" t="s">
        <v>1425</v>
      </c>
      <c r="B25" s="889">
        <f>+'ESTADO SIT FINANCIERA 24-23'!F8</f>
        <v>566952754</v>
      </c>
      <c r="C25" s="889">
        <v>0</v>
      </c>
      <c r="D25" s="889">
        <f t="shared" si="3"/>
        <v>566952754</v>
      </c>
      <c r="E25" s="889">
        <v>82679777</v>
      </c>
      <c r="F25" s="889">
        <f>+B25-C25</f>
        <v>566952754</v>
      </c>
      <c r="G25" s="909">
        <v>1</v>
      </c>
    </row>
    <row r="26" spans="1:7" ht="15.75" thickBot="1" x14ac:dyDescent="0.25">
      <c r="A26" s="844" t="s">
        <v>1426</v>
      </c>
      <c r="B26" s="889">
        <f>(+'ESTADO SIT FINANCIERA 24-23'!F32+'ESTADO SIT FINANCIERA 24-23'!F33)*-1</f>
        <v>-42584337.999999985</v>
      </c>
      <c r="C26" s="889">
        <v>0</v>
      </c>
      <c r="D26" s="889">
        <f t="shared" si="3"/>
        <v>-42584337.999999985</v>
      </c>
      <c r="E26" s="889">
        <v>-24647883</v>
      </c>
      <c r="F26" s="889">
        <f>+B26-C26</f>
        <v>-42584337.999999985</v>
      </c>
      <c r="G26" s="909">
        <v>0</v>
      </c>
    </row>
    <row r="27" spans="1:7" ht="16.5" thickBot="1" x14ac:dyDescent="0.3">
      <c r="A27" s="910" t="s">
        <v>1122</v>
      </c>
      <c r="B27" s="911">
        <f>SUM(B23:B26)</f>
        <v>529640744.96000004</v>
      </c>
      <c r="C27" s="911">
        <f>SUM(C23:C26)</f>
        <v>-134493010</v>
      </c>
      <c r="D27" s="911">
        <f>SUM(D23:D26)</f>
        <v>395147734.96000004</v>
      </c>
      <c r="E27" s="911">
        <f>SUM(E23:E26)</f>
        <v>1993954734.6500001</v>
      </c>
      <c r="F27" s="911">
        <f>SUM(F23:F26)</f>
        <v>664133754.96000004</v>
      </c>
      <c r="G27" s="916">
        <f>+F27/C27</f>
        <v>-4.9380540666016772</v>
      </c>
    </row>
    <row r="28" spans="1:7" ht="16.5" thickBot="1" x14ac:dyDescent="0.3">
      <c r="A28" s="913"/>
      <c r="B28" s="186"/>
      <c r="C28" s="893"/>
      <c r="D28" s="893"/>
      <c r="E28" s="893"/>
      <c r="F28" s="893"/>
      <c r="G28" s="917"/>
    </row>
    <row r="29" spans="1:7" ht="15.75" thickBot="1" x14ac:dyDescent="0.25">
      <c r="A29" s="1284" t="s">
        <v>1123</v>
      </c>
      <c r="B29" s="1285"/>
      <c r="C29" s="1285"/>
      <c r="D29" s="1285"/>
      <c r="E29" s="1285"/>
      <c r="F29" s="1285"/>
      <c r="G29" s="1286"/>
    </row>
    <row r="30" spans="1:7" ht="16.5" thickBot="1" x14ac:dyDescent="0.25">
      <c r="A30" s="908" t="s">
        <v>1117</v>
      </c>
      <c r="B30" s="908" t="s">
        <v>1540</v>
      </c>
      <c r="C30" s="908" t="s">
        <v>1541</v>
      </c>
      <c r="D30" s="908" t="s">
        <v>1537</v>
      </c>
      <c r="E30" s="908" t="s">
        <v>1509</v>
      </c>
      <c r="F30" s="908" t="s">
        <v>1063</v>
      </c>
      <c r="G30" s="908" t="s">
        <v>1105</v>
      </c>
    </row>
    <row r="31" spans="1:7" x14ac:dyDescent="0.2">
      <c r="A31" s="844" t="s">
        <v>1546</v>
      </c>
      <c r="B31" s="889">
        <f>+'ESTADO SIT FINANCIERA 24-23'!F60</f>
        <v>-3341035996.1599998</v>
      </c>
      <c r="C31" s="889">
        <v>592299166</v>
      </c>
      <c r="D31" s="889">
        <f>SUM(B31:C31)</f>
        <v>-2748736830.1599998</v>
      </c>
      <c r="E31" s="889">
        <v>-234069161.06000042</v>
      </c>
      <c r="F31" s="889">
        <f>+B31-C31</f>
        <v>-3933335162.1599998</v>
      </c>
      <c r="G31" s="909">
        <f>+F31/C31</f>
        <v>-6.6407913229443913</v>
      </c>
    </row>
    <row r="32" spans="1:7" x14ac:dyDescent="0.2">
      <c r="A32" s="844" t="s">
        <v>1427</v>
      </c>
      <c r="B32" s="889">
        <f>+'ESTADO SIT FINANCIERA 24-23'!F68</f>
        <v>2327997</v>
      </c>
      <c r="C32" s="889">
        <v>0</v>
      </c>
      <c r="D32" s="889">
        <f t="shared" ref="D32:D34" si="4">SUM(B32:C32)</f>
        <v>2327997</v>
      </c>
      <c r="E32" s="889">
        <v>0</v>
      </c>
      <c r="F32" s="889">
        <f>+B32-C32</f>
        <v>2327997</v>
      </c>
      <c r="G32" s="909">
        <v>1</v>
      </c>
    </row>
    <row r="33" spans="1:12" x14ac:dyDescent="0.2">
      <c r="A33" s="844" t="s">
        <v>1428</v>
      </c>
      <c r="B33" s="889">
        <f>+'ESTADO SIT FINANCIERA 24-23'!F66+'ESTADO SIT FINANCIERA 24-23'!F67</f>
        <v>87035097</v>
      </c>
      <c r="C33" s="889">
        <v>0</v>
      </c>
      <c r="D33" s="889">
        <f t="shared" si="4"/>
        <v>87035097</v>
      </c>
      <c r="E33" s="889">
        <v>56280520</v>
      </c>
      <c r="F33" s="889">
        <f>+B33-C33</f>
        <v>87035097</v>
      </c>
      <c r="G33" s="909">
        <v>1</v>
      </c>
    </row>
    <row r="34" spans="1:12" ht="15.75" thickBot="1" x14ac:dyDescent="0.25">
      <c r="A34" s="844" t="s">
        <v>1429</v>
      </c>
      <c r="B34" s="889">
        <f>+'ESTADO SIT FINANCIERA 24-23'!F59</f>
        <v>1688898531.5</v>
      </c>
      <c r="C34" s="889">
        <v>0</v>
      </c>
      <c r="D34" s="889">
        <f t="shared" si="4"/>
        <v>1688898531.5</v>
      </c>
      <c r="E34" s="889">
        <v>1435968462.0000019</v>
      </c>
      <c r="F34" s="889">
        <f>+B34-C34</f>
        <v>1688898531.5</v>
      </c>
      <c r="G34" s="909">
        <v>1</v>
      </c>
    </row>
    <row r="35" spans="1:12" ht="16.5" thickBot="1" x14ac:dyDescent="0.3">
      <c r="A35" s="910" t="s">
        <v>1128</v>
      </c>
      <c r="B35" s="919">
        <f>SUM(B31:B34)</f>
        <v>-1562774370.6599998</v>
      </c>
      <c r="C35" s="919">
        <f>SUM(C31:C34)</f>
        <v>592299166</v>
      </c>
      <c r="D35" s="919">
        <f>SUM(D31:D34)</f>
        <v>-970475204.65999985</v>
      </c>
      <c r="E35" s="919">
        <f>SUM(E31:E34)</f>
        <v>1258179820.9400015</v>
      </c>
      <c r="F35" s="919">
        <f>SUM(F31:F34)</f>
        <v>-2155073536.6599998</v>
      </c>
      <c r="G35" s="916">
        <f>+F35/C35</f>
        <v>-3.6384882173884403</v>
      </c>
    </row>
    <row r="36" spans="1:12" ht="15.75" thickBot="1" x14ac:dyDescent="0.25">
      <c r="A36" s="844"/>
      <c r="B36" s="833"/>
      <c r="C36" s="889"/>
      <c r="D36" s="889"/>
      <c r="E36" s="889"/>
      <c r="F36" s="889"/>
      <c r="G36" s="909"/>
    </row>
    <row r="37" spans="1:12" ht="16.5" thickBot="1" x14ac:dyDescent="0.3">
      <c r="A37" s="910" t="s">
        <v>1129</v>
      </c>
      <c r="B37" s="911">
        <f>+B19+B27+B35-1</f>
        <v>241338148.84999967</v>
      </c>
      <c r="C37" s="911">
        <f>+C19+C27+C35</f>
        <v>832866896.56999993</v>
      </c>
      <c r="D37" s="911">
        <f>+D19+D27+D35</f>
        <v>1074205046.4199996</v>
      </c>
      <c r="E37" s="911">
        <f>+E19+E27+E35</f>
        <v>11960561380.850002</v>
      </c>
      <c r="F37" s="911">
        <f>+F19+F27+F35</f>
        <v>-591528746.72000027</v>
      </c>
      <c r="G37" s="916">
        <f>+F37/C37</f>
        <v>-0.71023203005918012</v>
      </c>
    </row>
    <row r="38" spans="1:12" x14ac:dyDescent="0.2">
      <c r="A38" s="844" t="s">
        <v>1130</v>
      </c>
      <c r="B38" s="920">
        <f>+'ESTADO SIT FINANCIERA 24-23'!E9</f>
        <v>4346931446.0900002</v>
      </c>
      <c r="C38" s="889">
        <v>46254037</v>
      </c>
      <c r="D38" s="889">
        <f>SUM(B38:C38)</f>
        <v>4393185483.0900002</v>
      </c>
      <c r="E38" s="889">
        <v>2148856269.4400001</v>
      </c>
      <c r="F38" s="889">
        <f>+B38-C38</f>
        <v>4300677409.0900002</v>
      </c>
      <c r="G38" s="909">
        <f>+F38/C38</f>
        <v>92.97950380179789</v>
      </c>
    </row>
    <row r="39" spans="1:12" ht="15.75" thickBot="1" x14ac:dyDescent="0.25">
      <c r="A39" s="844" t="s">
        <v>1131</v>
      </c>
      <c r="B39" s="920">
        <f>+'ESTADO SIT FINANCIERA 24-23'!D9</f>
        <v>4900338784.0500002</v>
      </c>
      <c r="C39" s="889">
        <v>1107829127</v>
      </c>
      <c r="D39" s="889">
        <f>SUM(B39:C39)</f>
        <v>6008167911.0500002</v>
      </c>
      <c r="E39" s="889">
        <v>5454760573.0900002</v>
      </c>
      <c r="F39" s="889">
        <f>+B39-C39</f>
        <v>3792509657.0500002</v>
      </c>
      <c r="G39" s="909">
        <f>+F39/C39</f>
        <v>3.4233705944526949</v>
      </c>
    </row>
    <row r="40" spans="1:12" ht="16.5" thickBot="1" x14ac:dyDescent="0.3">
      <c r="A40" s="910" t="s">
        <v>1547</v>
      </c>
      <c r="B40" s="911">
        <f>B39-B38</f>
        <v>553407337.96000004</v>
      </c>
      <c r="C40" s="911">
        <f>C39-C38</f>
        <v>1061575090</v>
      </c>
      <c r="D40" s="911">
        <f>D39-D38</f>
        <v>1614982427.96</v>
      </c>
      <c r="E40" s="911">
        <f>E39-E38</f>
        <v>3305904303.6500001</v>
      </c>
      <c r="F40" s="911">
        <f>F39-F38</f>
        <v>-508167752.03999996</v>
      </c>
      <c r="G40" s="916">
        <f>+F40/C40</f>
        <v>-0.47869223461149596</v>
      </c>
      <c r="L40" s="758"/>
    </row>
    <row r="41" spans="1:12" x14ac:dyDescent="0.2">
      <c r="A41" s="661"/>
      <c r="B41" s="661"/>
      <c r="C41" s="662"/>
      <c r="D41" s="662"/>
      <c r="E41" s="662"/>
      <c r="F41" s="662"/>
      <c r="G41" s="663"/>
      <c r="L41" s="758"/>
    </row>
    <row r="42" spans="1:12" x14ac:dyDescent="0.2">
      <c r="A42" s="661"/>
      <c r="B42" s="661"/>
      <c r="C42" s="662"/>
      <c r="D42" s="662"/>
      <c r="E42" s="662"/>
      <c r="F42" s="662"/>
      <c r="G42" s="663"/>
      <c r="L42" s="758"/>
    </row>
    <row r="43" spans="1:12" x14ac:dyDescent="0.2">
      <c r="G43" s="658"/>
    </row>
    <row r="44" spans="1:12" x14ac:dyDescent="0.2">
      <c r="A44" s="652" t="s">
        <v>1091</v>
      </c>
      <c r="B44" s="760" t="s">
        <v>1171</v>
      </c>
      <c r="C44" s="760"/>
      <c r="D44" s="760"/>
      <c r="E44" s="760"/>
      <c r="F44" s="1275" t="s">
        <v>1366</v>
      </c>
      <c r="G44" s="1275"/>
      <c r="H44" s="1275"/>
    </row>
    <row r="45" spans="1:12" x14ac:dyDescent="0.2">
      <c r="A45" s="657" t="s">
        <v>1092</v>
      </c>
      <c r="B45" s="759" t="s">
        <v>1286</v>
      </c>
      <c r="C45" s="759"/>
      <c r="D45" s="759"/>
      <c r="E45" s="759"/>
      <c r="F45" s="1275" t="s">
        <v>1365</v>
      </c>
      <c r="G45" s="1275"/>
      <c r="H45" s="1275"/>
    </row>
    <row r="46" spans="1:12" x14ac:dyDescent="0.2">
      <c r="A46" s="658"/>
      <c r="B46" s="659"/>
      <c r="C46" s="658"/>
      <c r="D46" s="658"/>
      <c r="E46" s="658"/>
      <c r="F46" s="1275" t="s">
        <v>1371</v>
      </c>
      <c r="G46" s="1275"/>
      <c r="H46" s="1275"/>
    </row>
    <row r="47" spans="1:12" x14ac:dyDescent="0.2">
      <c r="F47" s="1274" t="s">
        <v>1347</v>
      </c>
      <c r="G47" s="1274"/>
      <c r="H47" s="1274"/>
    </row>
  </sheetData>
  <sheetProtection algorithmName="SHA-512" hashValue="1jEF6ASUSDe3DFaf7Y+rHxVONPonqD9pZh5fY5zi2nQ6T+8mYQJo1isN5mmGM1ErmKwazlL/IZnB2FKeyiUMHg==" saltValue="8cpmqapUR0M33yZmLkvG/A==" spinCount="100000" sheet="1" objects="1" scenarios="1"/>
  <mergeCells count="11">
    <mergeCell ref="A21:G21"/>
    <mergeCell ref="A1:G1"/>
    <mergeCell ref="A2:G2"/>
    <mergeCell ref="A3:G3"/>
    <mergeCell ref="C4:G4"/>
    <mergeCell ref="A5:G5"/>
    <mergeCell ref="A29:G29"/>
    <mergeCell ref="F44:H44"/>
    <mergeCell ref="F45:H45"/>
    <mergeCell ref="F46:H46"/>
    <mergeCell ref="F47:H47"/>
  </mergeCells>
  <pageMargins left="0.7" right="0.7" top="0.75" bottom="0.75" header="0.3" footer="0.3"/>
  <pageSetup scale="67" orientation="landscape" r:id="rId1"/>
  <headerFooter>
    <oddFooter>&amp;C&amp;P de 1</oddFooter>
  </headerFooter>
  <colBreaks count="1" manualBreakCount="1">
    <brk id="7" max="1048575" man="1"/>
  </col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tabColor rgb="FFFF0000"/>
  </sheetPr>
  <dimension ref="A1:G62"/>
  <sheetViews>
    <sheetView showGridLines="0" zoomScale="80" zoomScaleNormal="80" zoomScaleSheetLayoutView="100" workbookViewId="0">
      <selection activeCell="J53" sqref="J53"/>
    </sheetView>
  </sheetViews>
  <sheetFormatPr baseColWidth="10" defaultRowHeight="20.100000000000001" customHeight="1" x14ac:dyDescent="0.25"/>
  <cols>
    <col min="1" max="1" width="43.88671875" style="360" customWidth="1"/>
    <col min="2" max="2" width="1.6640625" style="346" customWidth="1"/>
    <col min="3" max="3" width="15.21875" style="360" bestFit="1" customWidth="1"/>
    <col min="4" max="4" width="5.77734375" style="360" bestFit="1" customWidth="1"/>
    <col min="5" max="5" width="14.88671875" style="360" bestFit="1" customWidth="1"/>
    <col min="6" max="6" width="9.88671875" style="635" bestFit="1" customWidth="1"/>
    <col min="7" max="7" width="7.5546875" style="360" customWidth="1"/>
    <col min="8" max="249" width="11.5546875" style="360"/>
    <col min="250" max="250" width="33" style="360" customWidth="1"/>
    <col min="251" max="251" width="1.6640625" style="360" customWidth="1"/>
    <col min="252" max="252" width="15.6640625" style="360" customWidth="1"/>
    <col min="253" max="253" width="8.33203125" style="360" customWidth="1"/>
    <col min="254" max="254" width="3.6640625" style="360" customWidth="1"/>
    <col min="255" max="260" width="0" style="360" hidden="1" customWidth="1"/>
    <col min="261" max="505" width="11.5546875" style="360"/>
    <col min="506" max="506" width="33" style="360" customWidth="1"/>
    <col min="507" max="507" width="1.6640625" style="360" customWidth="1"/>
    <col min="508" max="508" width="15.6640625" style="360" customWidth="1"/>
    <col min="509" max="509" width="8.33203125" style="360" customWidth="1"/>
    <col min="510" max="510" width="3.6640625" style="360" customWidth="1"/>
    <col min="511" max="516" width="0" style="360" hidden="1" customWidth="1"/>
    <col min="517" max="761" width="11.5546875" style="360"/>
    <col min="762" max="762" width="33" style="360" customWidth="1"/>
    <col min="763" max="763" width="1.6640625" style="360" customWidth="1"/>
    <col min="764" max="764" width="15.6640625" style="360" customWidth="1"/>
    <col min="765" max="765" width="8.33203125" style="360" customWidth="1"/>
    <col min="766" max="766" width="3.6640625" style="360" customWidth="1"/>
    <col min="767" max="772" width="0" style="360" hidden="1" customWidth="1"/>
    <col min="773" max="1017" width="11.5546875" style="360"/>
    <col min="1018" max="1018" width="33" style="360" customWidth="1"/>
    <col min="1019" max="1019" width="1.6640625" style="360" customWidth="1"/>
    <col min="1020" max="1020" width="15.6640625" style="360" customWidth="1"/>
    <col min="1021" max="1021" width="8.33203125" style="360" customWidth="1"/>
    <col min="1022" max="1022" width="3.6640625" style="360" customWidth="1"/>
    <col min="1023" max="1028" width="0" style="360" hidden="1" customWidth="1"/>
    <col min="1029" max="1273" width="11.5546875" style="360"/>
    <col min="1274" max="1274" width="33" style="360" customWidth="1"/>
    <col min="1275" max="1275" width="1.6640625" style="360" customWidth="1"/>
    <col min="1276" max="1276" width="15.6640625" style="360" customWidth="1"/>
    <col min="1277" max="1277" width="8.33203125" style="360" customWidth="1"/>
    <col min="1278" max="1278" width="3.6640625" style="360" customWidth="1"/>
    <col min="1279" max="1284" width="0" style="360" hidden="1" customWidth="1"/>
    <col min="1285" max="1529" width="11.5546875" style="360"/>
    <col min="1530" max="1530" width="33" style="360" customWidth="1"/>
    <col min="1531" max="1531" width="1.6640625" style="360" customWidth="1"/>
    <col min="1532" max="1532" width="15.6640625" style="360" customWidth="1"/>
    <col min="1533" max="1533" width="8.33203125" style="360" customWidth="1"/>
    <col min="1534" max="1534" width="3.6640625" style="360" customWidth="1"/>
    <col min="1535" max="1540" width="0" style="360" hidden="1" customWidth="1"/>
    <col min="1541" max="1785" width="11.5546875" style="360"/>
    <col min="1786" max="1786" width="33" style="360" customWidth="1"/>
    <col min="1787" max="1787" width="1.6640625" style="360" customWidth="1"/>
    <col min="1788" max="1788" width="15.6640625" style="360" customWidth="1"/>
    <col min="1789" max="1789" width="8.33203125" style="360" customWidth="1"/>
    <col min="1790" max="1790" width="3.6640625" style="360" customWidth="1"/>
    <col min="1791" max="1796" width="0" style="360" hidden="1" customWidth="1"/>
    <col min="1797" max="2041" width="11.5546875" style="360"/>
    <col min="2042" max="2042" width="33" style="360" customWidth="1"/>
    <col min="2043" max="2043" width="1.6640625" style="360" customWidth="1"/>
    <col min="2044" max="2044" width="15.6640625" style="360" customWidth="1"/>
    <col min="2045" max="2045" width="8.33203125" style="360" customWidth="1"/>
    <col min="2046" max="2046" width="3.6640625" style="360" customWidth="1"/>
    <col min="2047" max="2052" width="0" style="360" hidden="1" customWidth="1"/>
    <col min="2053" max="2297" width="11.5546875" style="360"/>
    <col min="2298" max="2298" width="33" style="360" customWidth="1"/>
    <col min="2299" max="2299" width="1.6640625" style="360" customWidth="1"/>
    <col min="2300" max="2300" width="15.6640625" style="360" customWidth="1"/>
    <col min="2301" max="2301" width="8.33203125" style="360" customWidth="1"/>
    <col min="2302" max="2302" width="3.6640625" style="360" customWidth="1"/>
    <col min="2303" max="2308" width="0" style="360" hidden="1" customWidth="1"/>
    <col min="2309" max="2553" width="11.5546875" style="360"/>
    <col min="2554" max="2554" width="33" style="360" customWidth="1"/>
    <col min="2555" max="2555" width="1.6640625" style="360" customWidth="1"/>
    <col min="2556" max="2556" width="15.6640625" style="360" customWidth="1"/>
    <col min="2557" max="2557" width="8.33203125" style="360" customWidth="1"/>
    <col min="2558" max="2558" width="3.6640625" style="360" customWidth="1"/>
    <col min="2559" max="2564" width="0" style="360" hidden="1" customWidth="1"/>
    <col min="2565" max="2809" width="11.5546875" style="360"/>
    <col min="2810" max="2810" width="33" style="360" customWidth="1"/>
    <col min="2811" max="2811" width="1.6640625" style="360" customWidth="1"/>
    <col min="2812" max="2812" width="15.6640625" style="360" customWidth="1"/>
    <col min="2813" max="2813" width="8.33203125" style="360" customWidth="1"/>
    <col min="2814" max="2814" width="3.6640625" style="360" customWidth="1"/>
    <col min="2815" max="2820" width="0" style="360" hidden="1" customWidth="1"/>
    <col min="2821" max="3065" width="11.5546875" style="360"/>
    <col min="3066" max="3066" width="33" style="360" customWidth="1"/>
    <col min="3067" max="3067" width="1.6640625" style="360" customWidth="1"/>
    <col min="3068" max="3068" width="15.6640625" style="360" customWidth="1"/>
    <col min="3069" max="3069" width="8.33203125" style="360" customWidth="1"/>
    <col min="3070" max="3070" width="3.6640625" style="360" customWidth="1"/>
    <col min="3071" max="3076" width="0" style="360" hidden="1" customWidth="1"/>
    <col min="3077" max="3321" width="11.5546875" style="360"/>
    <col min="3322" max="3322" width="33" style="360" customWidth="1"/>
    <col min="3323" max="3323" width="1.6640625" style="360" customWidth="1"/>
    <col min="3324" max="3324" width="15.6640625" style="360" customWidth="1"/>
    <col min="3325" max="3325" width="8.33203125" style="360" customWidth="1"/>
    <col min="3326" max="3326" width="3.6640625" style="360" customWidth="1"/>
    <col min="3327" max="3332" width="0" style="360" hidden="1" customWidth="1"/>
    <col min="3333" max="3577" width="11.5546875" style="360"/>
    <col min="3578" max="3578" width="33" style="360" customWidth="1"/>
    <col min="3579" max="3579" width="1.6640625" style="360" customWidth="1"/>
    <col min="3580" max="3580" width="15.6640625" style="360" customWidth="1"/>
    <col min="3581" max="3581" width="8.33203125" style="360" customWidth="1"/>
    <col min="3582" max="3582" width="3.6640625" style="360" customWidth="1"/>
    <col min="3583" max="3588" width="0" style="360" hidden="1" customWidth="1"/>
    <col min="3589" max="3833" width="11.5546875" style="360"/>
    <col min="3834" max="3834" width="33" style="360" customWidth="1"/>
    <col min="3835" max="3835" width="1.6640625" style="360" customWidth="1"/>
    <col min="3836" max="3836" width="15.6640625" style="360" customWidth="1"/>
    <col min="3837" max="3837" width="8.33203125" style="360" customWidth="1"/>
    <col min="3838" max="3838" width="3.6640625" style="360" customWidth="1"/>
    <col min="3839" max="3844" width="0" style="360" hidden="1" customWidth="1"/>
    <col min="3845" max="4089" width="11.5546875" style="360"/>
    <col min="4090" max="4090" width="33" style="360" customWidth="1"/>
    <col min="4091" max="4091" width="1.6640625" style="360" customWidth="1"/>
    <col min="4092" max="4092" width="15.6640625" style="360" customWidth="1"/>
    <col min="4093" max="4093" width="8.33203125" style="360" customWidth="1"/>
    <col min="4094" max="4094" width="3.6640625" style="360" customWidth="1"/>
    <col min="4095" max="4100" width="0" style="360" hidden="1" customWidth="1"/>
    <col min="4101" max="4345" width="11.5546875" style="360"/>
    <col min="4346" max="4346" width="33" style="360" customWidth="1"/>
    <col min="4347" max="4347" width="1.6640625" style="360" customWidth="1"/>
    <col min="4348" max="4348" width="15.6640625" style="360" customWidth="1"/>
    <col min="4349" max="4349" width="8.33203125" style="360" customWidth="1"/>
    <col min="4350" max="4350" width="3.6640625" style="360" customWidth="1"/>
    <col min="4351" max="4356" width="0" style="360" hidden="1" customWidth="1"/>
    <col min="4357" max="4601" width="11.5546875" style="360"/>
    <col min="4602" max="4602" width="33" style="360" customWidth="1"/>
    <col min="4603" max="4603" width="1.6640625" style="360" customWidth="1"/>
    <col min="4604" max="4604" width="15.6640625" style="360" customWidth="1"/>
    <col min="4605" max="4605" width="8.33203125" style="360" customWidth="1"/>
    <col min="4606" max="4606" width="3.6640625" style="360" customWidth="1"/>
    <col min="4607" max="4612" width="0" style="360" hidden="1" customWidth="1"/>
    <col min="4613" max="4857" width="11.5546875" style="360"/>
    <col min="4858" max="4858" width="33" style="360" customWidth="1"/>
    <col min="4859" max="4859" width="1.6640625" style="360" customWidth="1"/>
    <col min="4860" max="4860" width="15.6640625" style="360" customWidth="1"/>
    <col min="4861" max="4861" width="8.33203125" style="360" customWidth="1"/>
    <col min="4862" max="4862" width="3.6640625" style="360" customWidth="1"/>
    <col min="4863" max="4868" width="0" style="360" hidden="1" customWidth="1"/>
    <col min="4869" max="5113" width="11.5546875" style="360"/>
    <col min="5114" max="5114" width="33" style="360" customWidth="1"/>
    <col min="5115" max="5115" width="1.6640625" style="360" customWidth="1"/>
    <col min="5116" max="5116" width="15.6640625" style="360" customWidth="1"/>
    <col min="5117" max="5117" width="8.33203125" style="360" customWidth="1"/>
    <col min="5118" max="5118" width="3.6640625" style="360" customWidth="1"/>
    <col min="5119" max="5124" width="0" style="360" hidden="1" customWidth="1"/>
    <col min="5125" max="5369" width="11.5546875" style="360"/>
    <col min="5370" max="5370" width="33" style="360" customWidth="1"/>
    <col min="5371" max="5371" width="1.6640625" style="360" customWidth="1"/>
    <col min="5372" max="5372" width="15.6640625" style="360" customWidth="1"/>
    <col min="5373" max="5373" width="8.33203125" style="360" customWidth="1"/>
    <col min="5374" max="5374" width="3.6640625" style="360" customWidth="1"/>
    <col min="5375" max="5380" width="0" style="360" hidden="1" customWidth="1"/>
    <col min="5381" max="5625" width="11.5546875" style="360"/>
    <col min="5626" max="5626" width="33" style="360" customWidth="1"/>
    <col min="5627" max="5627" width="1.6640625" style="360" customWidth="1"/>
    <col min="5628" max="5628" width="15.6640625" style="360" customWidth="1"/>
    <col min="5629" max="5629" width="8.33203125" style="360" customWidth="1"/>
    <col min="5630" max="5630" width="3.6640625" style="360" customWidth="1"/>
    <col min="5631" max="5636" width="0" style="360" hidden="1" customWidth="1"/>
    <col min="5637" max="5881" width="11.5546875" style="360"/>
    <col min="5882" max="5882" width="33" style="360" customWidth="1"/>
    <col min="5883" max="5883" width="1.6640625" style="360" customWidth="1"/>
    <col min="5884" max="5884" width="15.6640625" style="360" customWidth="1"/>
    <col min="5885" max="5885" width="8.33203125" style="360" customWidth="1"/>
    <col min="5886" max="5886" width="3.6640625" style="360" customWidth="1"/>
    <col min="5887" max="5892" width="0" style="360" hidden="1" customWidth="1"/>
    <col min="5893" max="6137" width="11.5546875" style="360"/>
    <col min="6138" max="6138" width="33" style="360" customWidth="1"/>
    <col min="6139" max="6139" width="1.6640625" style="360" customWidth="1"/>
    <col min="6140" max="6140" width="15.6640625" style="360" customWidth="1"/>
    <col min="6141" max="6141" width="8.33203125" style="360" customWidth="1"/>
    <col min="6142" max="6142" width="3.6640625" style="360" customWidth="1"/>
    <col min="6143" max="6148" width="0" style="360" hidden="1" customWidth="1"/>
    <col min="6149" max="6393" width="11.5546875" style="360"/>
    <col min="6394" max="6394" width="33" style="360" customWidth="1"/>
    <col min="6395" max="6395" width="1.6640625" style="360" customWidth="1"/>
    <col min="6396" max="6396" width="15.6640625" style="360" customWidth="1"/>
    <col min="6397" max="6397" width="8.33203125" style="360" customWidth="1"/>
    <col min="6398" max="6398" width="3.6640625" style="360" customWidth="1"/>
    <col min="6399" max="6404" width="0" style="360" hidden="1" customWidth="1"/>
    <col min="6405" max="6649" width="11.5546875" style="360"/>
    <col min="6650" max="6650" width="33" style="360" customWidth="1"/>
    <col min="6651" max="6651" width="1.6640625" style="360" customWidth="1"/>
    <col min="6652" max="6652" width="15.6640625" style="360" customWidth="1"/>
    <col min="6653" max="6653" width="8.33203125" style="360" customWidth="1"/>
    <col min="6654" max="6654" width="3.6640625" style="360" customWidth="1"/>
    <col min="6655" max="6660" width="0" style="360" hidden="1" customWidth="1"/>
    <col min="6661" max="6905" width="11.5546875" style="360"/>
    <col min="6906" max="6906" width="33" style="360" customWidth="1"/>
    <col min="6907" max="6907" width="1.6640625" style="360" customWidth="1"/>
    <col min="6908" max="6908" width="15.6640625" style="360" customWidth="1"/>
    <col min="6909" max="6909" width="8.33203125" style="360" customWidth="1"/>
    <col min="6910" max="6910" width="3.6640625" style="360" customWidth="1"/>
    <col min="6911" max="6916" width="0" style="360" hidden="1" customWidth="1"/>
    <col min="6917" max="7161" width="11.5546875" style="360"/>
    <col min="7162" max="7162" width="33" style="360" customWidth="1"/>
    <col min="7163" max="7163" width="1.6640625" style="360" customWidth="1"/>
    <col min="7164" max="7164" width="15.6640625" style="360" customWidth="1"/>
    <col min="7165" max="7165" width="8.33203125" style="360" customWidth="1"/>
    <col min="7166" max="7166" width="3.6640625" style="360" customWidth="1"/>
    <col min="7167" max="7172" width="0" style="360" hidden="1" customWidth="1"/>
    <col min="7173" max="7417" width="11.5546875" style="360"/>
    <col min="7418" max="7418" width="33" style="360" customWidth="1"/>
    <col min="7419" max="7419" width="1.6640625" style="360" customWidth="1"/>
    <col min="7420" max="7420" width="15.6640625" style="360" customWidth="1"/>
    <col min="7421" max="7421" width="8.33203125" style="360" customWidth="1"/>
    <col min="7422" max="7422" width="3.6640625" style="360" customWidth="1"/>
    <col min="7423" max="7428" width="0" style="360" hidden="1" customWidth="1"/>
    <col min="7429" max="7673" width="11.5546875" style="360"/>
    <col min="7674" max="7674" width="33" style="360" customWidth="1"/>
    <col min="7675" max="7675" width="1.6640625" style="360" customWidth="1"/>
    <col min="7676" max="7676" width="15.6640625" style="360" customWidth="1"/>
    <col min="7677" max="7677" width="8.33203125" style="360" customWidth="1"/>
    <col min="7678" max="7678" width="3.6640625" style="360" customWidth="1"/>
    <col min="7679" max="7684" width="0" style="360" hidden="1" customWidth="1"/>
    <col min="7685" max="7929" width="11.5546875" style="360"/>
    <col min="7930" max="7930" width="33" style="360" customWidth="1"/>
    <col min="7931" max="7931" width="1.6640625" style="360" customWidth="1"/>
    <col min="7932" max="7932" width="15.6640625" style="360" customWidth="1"/>
    <col min="7933" max="7933" width="8.33203125" style="360" customWidth="1"/>
    <col min="7934" max="7934" width="3.6640625" style="360" customWidth="1"/>
    <col min="7935" max="7940" width="0" style="360" hidden="1" customWidth="1"/>
    <col min="7941" max="8185" width="11.5546875" style="360"/>
    <col min="8186" max="8186" width="33" style="360" customWidth="1"/>
    <col min="8187" max="8187" width="1.6640625" style="360" customWidth="1"/>
    <col min="8188" max="8188" width="15.6640625" style="360" customWidth="1"/>
    <col min="8189" max="8189" width="8.33203125" style="360" customWidth="1"/>
    <col min="8190" max="8190" width="3.6640625" style="360" customWidth="1"/>
    <col min="8191" max="8196" width="0" style="360" hidden="1" customWidth="1"/>
    <col min="8197" max="8441" width="11.5546875" style="360"/>
    <col min="8442" max="8442" width="33" style="360" customWidth="1"/>
    <col min="8443" max="8443" width="1.6640625" style="360" customWidth="1"/>
    <col min="8444" max="8444" width="15.6640625" style="360" customWidth="1"/>
    <col min="8445" max="8445" width="8.33203125" style="360" customWidth="1"/>
    <col min="8446" max="8446" width="3.6640625" style="360" customWidth="1"/>
    <col min="8447" max="8452" width="0" style="360" hidden="1" customWidth="1"/>
    <col min="8453" max="8697" width="11.5546875" style="360"/>
    <col min="8698" max="8698" width="33" style="360" customWidth="1"/>
    <col min="8699" max="8699" width="1.6640625" style="360" customWidth="1"/>
    <col min="8700" max="8700" width="15.6640625" style="360" customWidth="1"/>
    <col min="8701" max="8701" width="8.33203125" style="360" customWidth="1"/>
    <col min="8702" max="8702" width="3.6640625" style="360" customWidth="1"/>
    <col min="8703" max="8708" width="0" style="360" hidden="1" customWidth="1"/>
    <col min="8709" max="8953" width="11.5546875" style="360"/>
    <col min="8954" max="8954" width="33" style="360" customWidth="1"/>
    <col min="8955" max="8955" width="1.6640625" style="360" customWidth="1"/>
    <col min="8956" max="8956" width="15.6640625" style="360" customWidth="1"/>
    <col min="8957" max="8957" width="8.33203125" style="360" customWidth="1"/>
    <col min="8958" max="8958" width="3.6640625" style="360" customWidth="1"/>
    <col min="8959" max="8964" width="0" style="360" hidden="1" customWidth="1"/>
    <col min="8965" max="9209" width="11.5546875" style="360"/>
    <col min="9210" max="9210" width="33" style="360" customWidth="1"/>
    <col min="9211" max="9211" width="1.6640625" style="360" customWidth="1"/>
    <col min="9212" max="9212" width="15.6640625" style="360" customWidth="1"/>
    <col min="9213" max="9213" width="8.33203125" style="360" customWidth="1"/>
    <col min="9214" max="9214" width="3.6640625" style="360" customWidth="1"/>
    <col min="9215" max="9220" width="0" style="360" hidden="1" customWidth="1"/>
    <col min="9221" max="9465" width="11.5546875" style="360"/>
    <col min="9466" max="9466" width="33" style="360" customWidth="1"/>
    <col min="9467" max="9467" width="1.6640625" style="360" customWidth="1"/>
    <col min="9468" max="9468" width="15.6640625" style="360" customWidth="1"/>
    <col min="9469" max="9469" width="8.33203125" style="360" customWidth="1"/>
    <col min="9470" max="9470" width="3.6640625" style="360" customWidth="1"/>
    <col min="9471" max="9476" width="0" style="360" hidden="1" customWidth="1"/>
    <col min="9477" max="9721" width="11.5546875" style="360"/>
    <col min="9722" max="9722" width="33" style="360" customWidth="1"/>
    <col min="9723" max="9723" width="1.6640625" style="360" customWidth="1"/>
    <col min="9724" max="9724" width="15.6640625" style="360" customWidth="1"/>
    <col min="9725" max="9725" width="8.33203125" style="360" customWidth="1"/>
    <col min="9726" max="9726" width="3.6640625" style="360" customWidth="1"/>
    <col min="9727" max="9732" width="0" style="360" hidden="1" customWidth="1"/>
    <col min="9733" max="9977" width="11.5546875" style="360"/>
    <col min="9978" max="9978" width="33" style="360" customWidth="1"/>
    <col min="9979" max="9979" width="1.6640625" style="360" customWidth="1"/>
    <col min="9980" max="9980" width="15.6640625" style="360" customWidth="1"/>
    <col min="9981" max="9981" width="8.33203125" style="360" customWidth="1"/>
    <col min="9982" max="9982" width="3.6640625" style="360" customWidth="1"/>
    <col min="9983" max="9988" width="0" style="360" hidden="1" customWidth="1"/>
    <col min="9989" max="10233" width="11.5546875" style="360"/>
    <col min="10234" max="10234" width="33" style="360" customWidth="1"/>
    <col min="10235" max="10235" width="1.6640625" style="360" customWidth="1"/>
    <col min="10236" max="10236" width="15.6640625" style="360" customWidth="1"/>
    <col min="10237" max="10237" width="8.33203125" style="360" customWidth="1"/>
    <col min="10238" max="10238" width="3.6640625" style="360" customWidth="1"/>
    <col min="10239" max="10244" width="0" style="360" hidden="1" customWidth="1"/>
    <col min="10245" max="10489" width="11.5546875" style="360"/>
    <col min="10490" max="10490" width="33" style="360" customWidth="1"/>
    <col min="10491" max="10491" width="1.6640625" style="360" customWidth="1"/>
    <col min="10492" max="10492" width="15.6640625" style="360" customWidth="1"/>
    <col min="10493" max="10493" width="8.33203125" style="360" customWidth="1"/>
    <col min="10494" max="10494" width="3.6640625" style="360" customWidth="1"/>
    <col min="10495" max="10500" width="0" style="360" hidden="1" customWidth="1"/>
    <col min="10501" max="10745" width="11.5546875" style="360"/>
    <col min="10746" max="10746" width="33" style="360" customWidth="1"/>
    <col min="10747" max="10747" width="1.6640625" style="360" customWidth="1"/>
    <col min="10748" max="10748" width="15.6640625" style="360" customWidth="1"/>
    <col min="10749" max="10749" width="8.33203125" style="360" customWidth="1"/>
    <col min="10750" max="10750" width="3.6640625" style="360" customWidth="1"/>
    <col min="10751" max="10756" width="0" style="360" hidden="1" customWidth="1"/>
    <col min="10757" max="11001" width="11.5546875" style="360"/>
    <col min="11002" max="11002" width="33" style="360" customWidth="1"/>
    <col min="11003" max="11003" width="1.6640625" style="360" customWidth="1"/>
    <col min="11004" max="11004" width="15.6640625" style="360" customWidth="1"/>
    <col min="11005" max="11005" width="8.33203125" style="360" customWidth="1"/>
    <col min="11006" max="11006" width="3.6640625" style="360" customWidth="1"/>
    <col min="11007" max="11012" width="0" style="360" hidden="1" customWidth="1"/>
    <col min="11013" max="11257" width="11.5546875" style="360"/>
    <col min="11258" max="11258" width="33" style="360" customWidth="1"/>
    <col min="11259" max="11259" width="1.6640625" style="360" customWidth="1"/>
    <col min="11260" max="11260" width="15.6640625" style="360" customWidth="1"/>
    <col min="11261" max="11261" width="8.33203125" style="360" customWidth="1"/>
    <col min="11262" max="11262" width="3.6640625" style="360" customWidth="1"/>
    <col min="11263" max="11268" width="0" style="360" hidden="1" customWidth="1"/>
    <col min="11269" max="11513" width="11.5546875" style="360"/>
    <col min="11514" max="11514" width="33" style="360" customWidth="1"/>
    <col min="11515" max="11515" width="1.6640625" style="360" customWidth="1"/>
    <col min="11516" max="11516" width="15.6640625" style="360" customWidth="1"/>
    <col min="11517" max="11517" width="8.33203125" style="360" customWidth="1"/>
    <col min="11518" max="11518" width="3.6640625" style="360" customWidth="1"/>
    <col min="11519" max="11524" width="0" style="360" hidden="1" customWidth="1"/>
    <col min="11525" max="11769" width="11.5546875" style="360"/>
    <col min="11770" max="11770" width="33" style="360" customWidth="1"/>
    <col min="11771" max="11771" width="1.6640625" style="360" customWidth="1"/>
    <col min="11772" max="11772" width="15.6640625" style="360" customWidth="1"/>
    <col min="11773" max="11773" width="8.33203125" style="360" customWidth="1"/>
    <col min="11774" max="11774" width="3.6640625" style="360" customWidth="1"/>
    <col min="11775" max="11780" width="0" style="360" hidden="1" customWidth="1"/>
    <col min="11781" max="12025" width="11.5546875" style="360"/>
    <col min="12026" max="12026" width="33" style="360" customWidth="1"/>
    <col min="12027" max="12027" width="1.6640625" style="360" customWidth="1"/>
    <col min="12028" max="12028" width="15.6640625" style="360" customWidth="1"/>
    <col min="12029" max="12029" width="8.33203125" style="360" customWidth="1"/>
    <col min="12030" max="12030" width="3.6640625" style="360" customWidth="1"/>
    <col min="12031" max="12036" width="0" style="360" hidden="1" customWidth="1"/>
    <col min="12037" max="12281" width="11.5546875" style="360"/>
    <col min="12282" max="12282" width="33" style="360" customWidth="1"/>
    <col min="12283" max="12283" width="1.6640625" style="360" customWidth="1"/>
    <col min="12284" max="12284" width="15.6640625" style="360" customWidth="1"/>
    <col min="12285" max="12285" width="8.33203125" style="360" customWidth="1"/>
    <col min="12286" max="12286" width="3.6640625" style="360" customWidth="1"/>
    <col min="12287" max="12292" width="0" style="360" hidden="1" customWidth="1"/>
    <col min="12293" max="12537" width="11.5546875" style="360"/>
    <col min="12538" max="12538" width="33" style="360" customWidth="1"/>
    <col min="12539" max="12539" width="1.6640625" style="360" customWidth="1"/>
    <col min="12540" max="12540" width="15.6640625" style="360" customWidth="1"/>
    <col min="12541" max="12541" width="8.33203125" style="360" customWidth="1"/>
    <col min="12542" max="12542" width="3.6640625" style="360" customWidth="1"/>
    <col min="12543" max="12548" width="0" style="360" hidden="1" customWidth="1"/>
    <col min="12549" max="12793" width="11.5546875" style="360"/>
    <col min="12794" max="12794" width="33" style="360" customWidth="1"/>
    <col min="12795" max="12795" width="1.6640625" style="360" customWidth="1"/>
    <col min="12796" max="12796" width="15.6640625" style="360" customWidth="1"/>
    <col min="12797" max="12797" width="8.33203125" style="360" customWidth="1"/>
    <col min="12798" max="12798" width="3.6640625" style="360" customWidth="1"/>
    <col min="12799" max="12804" width="0" style="360" hidden="1" customWidth="1"/>
    <col min="12805" max="13049" width="11.5546875" style="360"/>
    <col min="13050" max="13050" width="33" style="360" customWidth="1"/>
    <col min="13051" max="13051" width="1.6640625" style="360" customWidth="1"/>
    <col min="13052" max="13052" width="15.6640625" style="360" customWidth="1"/>
    <col min="13053" max="13053" width="8.33203125" style="360" customWidth="1"/>
    <col min="13054" max="13054" width="3.6640625" style="360" customWidth="1"/>
    <col min="13055" max="13060" width="0" style="360" hidden="1" customWidth="1"/>
    <col min="13061" max="13305" width="11.5546875" style="360"/>
    <col min="13306" max="13306" width="33" style="360" customWidth="1"/>
    <col min="13307" max="13307" width="1.6640625" style="360" customWidth="1"/>
    <col min="13308" max="13308" width="15.6640625" style="360" customWidth="1"/>
    <col min="13309" max="13309" width="8.33203125" style="360" customWidth="1"/>
    <col min="13310" max="13310" width="3.6640625" style="360" customWidth="1"/>
    <col min="13311" max="13316" width="0" style="360" hidden="1" customWidth="1"/>
    <col min="13317" max="13561" width="11.5546875" style="360"/>
    <col min="13562" max="13562" width="33" style="360" customWidth="1"/>
    <col min="13563" max="13563" width="1.6640625" style="360" customWidth="1"/>
    <col min="13564" max="13564" width="15.6640625" style="360" customWidth="1"/>
    <col min="13565" max="13565" width="8.33203125" style="360" customWidth="1"/>
    <col min="13566" max="13566" width="3.6640625" style="360" customWidth="1"/>
    <col min="13567" max="13572" width="0" style="360" hidden="1" customWidth="1"/>
    <col min="13573" max="13817" width="11.5546875" style="360"/>
    <col min="13818" max="13818" width="33" style="360" customWidth="1"/>
    <col min="13819" max="13819" width="1.6640625" style="360" customWidth="1"/>
    <col min="13820" max="13820" width="15.6640625" style="360" customWidth="1"/>
    <col min="13821" max="13821" width="8.33203125" style="360" customWidth="1"/>
    <col min="13822" max="13822" width="3.6640625" style="360" customWidth="1"/>
    <col min="13823" max="13828" width="0" style="360" hidden="1" customWidth="1"/>
    <col min="13829" max="14073" width="11.5546875" style="360"/>
    <col min="14074" max="14074" width="33" style="360" customWidth="1"/>
    <col min="14075" max="14075" width="1.6640625" style="360" customWidth="1"/>
    <col min="14076" max="14076" width="15.6640625" style="360" customWidth="1"/>
    <col min="14077" max="14077" width="8.33203125" style="360" customWidth="1"/>
    <col min="14078" max="14078" width="3.6640625" style="360" customWidth="1"/>
    <col min="14079" max="14084" width="0" style="360" hidden="1" customWidth="1"/>
    <col min="14085" max="14329" width="11.5546875" style="360"/>
    <col min="14330" max="14330" width="33" style="360" customWidth="1"/>
    <col min="14331" max="14331" width="1.6640625" style="360" customWidth="1"/>
    <col min="14332" max="14332" width="15.6640625" style="360" customWidth="1"/>
    <col min="14333" max="14333" width="8.33203125" style="360" customWidth="1"/>
    <col min="14334" max="14334" width="3.6640625" style="360" customWidth="1"/>
    <col min="14335" max="14340" width="0" style="360" hidden="1" customWidth="1"/>
    <col min="14341" max="14585" width="11.5546875" style="360"/>
    <col min="14586" max="14586" width="33" style="360" customWidth="1"/>
    <col min="14587" max="14587" width="1.6640625" style="360" customWidth="1"/>
    <col min="14588" max="14588" width="15.6640625" style="360" customWidth="1"/>
    <col min="14589" max="14589" width="8.33203125" style="360" customWidth="1"/>
    <col min="14590" max="14590" width="3.6640625" style="360" customWidth="1"/>
    <col min="14591" max="14596" width="0" style="360" hidden="1" customWidth="1"/>
    <col min="14597" max="14841" width="11.5546875" style="360"/>
    <col min="14842" max="14842" width="33" style="360" customWidth="1"/>
    <col min="14843" max="14843" width="1.6640625" style="360" customWidth="1"/>
    <col min="14844" max="14844" width="15.6640625" style="360" customWidth="1"/>
    <col min="14845" max="14845" width="8.33203125" style="360" customWidth="1"/>
    <col min="14846" max="14846" width="3.6640625" style="360" customWidth="1"/>
    <col min="14847" max="14852" width="0" style="360" hidden="1" customWidth="1"/>
    <col min="14853" max="15097" width="11.5546875" style="360"/>
    <col min="15098" max="15098" width="33" style="360" customWidth="1"/>
    <col min="15099" max="15099" width="1.6640625" style="360" customWidth="1"/>
    <col min="15100" max="15100" width="15.6640625" style="360" customWidth="1"/>
    <col min="15101" max="15101" width="8.33203125" style="360" customWidth="1"/>
    <col min="15102" max="15102" width="3.6640625" style="360" customWidth="1"/>
    <col min="15103" max="15108" width="0" style="360" hidden="1" customWidth="1"/>
    <col min="15109" max="15353" width="11.5546875" style="360"/>
    <col min="15354" max="15354" width="33" style="360" customWidth="1"/>
    <col min="15355" max="15355" width="1.6640625" style="360" customWidth="1"/>
    <col min="15356" max="15356" width="15.6640625" style="360" customWidth="1"/>
    <col min="15357" max="15357" width="8.33203125" style="360" customWidth="1"/>
    <col min="15358" max="15358" width="3.6640625" style="360" customWidth="1"/>
    <col min="15359" max="15364" width="0" style="360" hidden="1" customWidth="1"/>
    <col min="15365" max="15609" width="11.5546875" style="360"/>
    <col min="15610" max="15610" width="33" style="360" customWidth="1"/>
    <col min="15611" max="15611" width="1.6640625" style="360" customWidth="1"/>
    <col min="15612" max="15612" width="15.6640625" style="360" customWidth="1"/>
    <col min="15613" max="15613" width="8.33203125" style="360" customWidth="1"/>
    <col min="15614" max="15614" width="3.6640625" style="360" customWidth="1"/>
    <col min="15615" max="15620" width="0" style="360" hidden="1" customWidth="1"/>
    <col min="15621" max="15865" width="11.5546875" style="360"/>
    <col min="15866" max="15866" width="33" style="360" customWidth="1"/>
    <col min="15867" max="15867" width="1.6640625" style="360" customWidth="1"/>
    <col min="15868" max="15868" width="15.6640625" style="360" customWidth="1"/>
    <col min="15869" max="15869" width="8.33203125" style="360" customWidth="1"/>
    <col min="15870" max="15870" width="3.6640625" style="360" customWidth="1"/>
    <col min="15871" max="15876" width="0" style="360" hidden="1" customWidth="1"/>
    <col min="15877" max="16121" width="11.5546875" style="360"/>
    <col min="16122" max="16122" width="33" style="360" customWidth="1"/>
    <col min="16123" max="16123" width="1.6640625" style="360" customWidth="1"/>
    <col min="16124" max="16124" width="15.6640625" style="360" customWidth="1"/>
    <col min="16125" max="16125" width="8.33203125" style="360" customWidth="1"/>
    <col min="16126" max="16126" width="3.6640625" style="360" customWidth="1"/>
    <col min="16127" max="16132" width="0" style="360" hidden="1" customWidth="1"/>
    <col min="16133" max="16384" width="11.5546875" style="360"/>
  </cols>
  <sheetData>
    <row r="1" spans="1:7" ht="15.75" customHeight="1" x14ac:dyDescent="0.25">
      <c r="A1" s="831"/>
      <c r="B1" s="831"/>
      <c r="C1" s="831"/>
      <c r="D1" s="831"/>
      <c r="E1" s="832"/>
    </row>
    <row r="2" spans="1:7" ht="15.75" customHeight="1" x14ac:dyDescent="0.25">
      <c r="A2" s="1305" t="s">
        <v>1267</v>
      </c>
      <c r="B2" s="1305"/>
      <c r="C2" s="1305"/>
      <c r="D2" s="1305"/>
      <c r="E2" s="1305"/>
      <c r="F2" s="1305"/>
    </row>
    <row r="3" spans="1:7" ht="15.75" customHeight="1" x14ac:dyDescent="0.25">
      <c r="A3" s="1305" t="s">
        <v>1406</v>
      </c>
      <c r="B3" s="1305"/>
      <c r="C3" s="1305"/>
      <c r="D3" s="1305"/>
      <c r="E3" s="1305"/>
      <c r="F3" s="1305"/>
    </row>
    <row r="4" spans="1:7" ht="15.75" customHeight="1" x14ac:dyDescent="0.25">
      <c r="A4" s="1305" t="s">
        <v>1368</v>
      </c>
      <c r="B4" s="1305"/>
      <c r="C4" s="1305"/>
      <c r="D4" s="1305"/>
      <c r="E4" s="1305"/>
      <c r="F4" s="1305"/>
    </row>
    <row r="5" spans="1:7" ht="14.25" x14ac:dyDescent="0.25">
      <c r="A5" s="1306" t="s">
        <v>218</v>
      </c>
      <c r="B5" s="1009"/>
      <c r="C5" s="1010"/>
      <c r="D5" s="1011"/>
      <c r="E5" s="1012"/>
      <c r="F5" s="1013"/>
    </row>
    <row r="6" spans="1:7" ht="14.25" x14ac:dyDescent="0.25">
      <c r="A6" s="1306"/>
      <c r="B6" s="1009"/>
      <c r="C6" s="1014" t="s">
        <v>1410</v>
      </c>
      <c r="D6" s="1015" t="s">
        <v>400</v>
      </c>
      <c r="E6" s="1014" t="s">
        <v>1367</v>
      </c>
      <c r="F6" s="1014" t="s">
        <v>1063</v>
      </c>
      <c r="G6" s="1014" t="s">
        <v>1135</v>
      </c>
    </row>
    <row r="7" spans="1:7" ht="14.25" x14ac:dyDescent="0.25">
      <c r="A7" s="1016" t="s">
        <v>387</v>
      </c>
      <c r="B7" s="1009"/>
      <c r="C7" s="1017">
        <f>+'PYG COMPARTIVO 24-23'!C8</f>
        <v>6402964047</v>
      </c>
      <c r="D7" s="1018">
        <f>+C7/$C$9</f>
        <v>0.95248577143499025</v>
      </c>
      <c r="E7" s="1017">
        <v>4433014787</v>
      </c>
      <c r="F7" s="1017">
        <f>+C7-E7</f>
        <v>1969949260</v>
      </c>
      <c r="G7" s="1056">
        <f>F7/E7</f>
        <v>0.44438138708153152</v>
      </c>
    </row>
    <row r="8" spans="1:7" ht="14.25" x14ac:dyDescent="0.25">
      <c r="A8" s="1020" t="s">
        <v>649</v>
      </c>
      <c r="B8" s="1009"/>
      <c r="C8" s="1017">
        <f>+'PYG COMPARTIVO 24-23'!C9</f>
        <v>319408338</v>
      </c>
      <c r="D8" s="1018">
        <f>+C8/$C$9</f>
        <v>4.7514228565009795E-2</v>
      </c>
      <c r="E8" s="1017">
        <v>202447215</v>
      </c>
      <c r="F8" s="1017">
        <f>+C8-E8</f>
        <v>116961123</v>
      </c>
      <c r="G8" s="1056">
        <f t="shared" ref="G8:G9" si="0">F8/E8</f>
        <v>0.57773638921138037</v>
      </c>
    </row>
    <row r="9" spans="1:7" ht="14.25" x14ac:dyDescent="0.25">
      <c r="A9" s="1021" t="s">
        <v>401</v>
      </c>
      <c r="B9" s="1009"/>
      <c r="C9" s="1022">
        <f>SUM(C7:C8)</f>
        <v>6722372385</v>
      </c>
      <c r="D9" s="1023">
        <f>+C9/C9</f>
        <v>1</v>
      </c>
      <c r="E9" s="1022">
        <f>SUM(E7:E8)</f>
        <v>4635462002</v>
      </c>
      <c r="F9" s="1024">
        <f>+C9-E9</f>
        <v>2086910383</v>
      </c>
      <c r="G9" s="1056">
        <f t="shared" si="0"/>
        <v>0.45020547727488414</v>
      </c>
    </row>
    <row r="10" spans="1:7" ht="14.25" x14ac:dyDescent="0.25">
      <c r="A10" s="1025"/>
      <c r="B10" s="1009"/>
      <c r="C10" s="1026"/>
      <c r="D10" s="1027"/>
      <c r="E10" s="1026"/>
      <c r="F10" s="1028"/>
      <c r="G10" s="1019"/>
    </row>
    <row r="11" spans="1:7" ht="14.25" x14ac:dyDescent="0.25">
      <c r="A11" s="1306" t="s">
        <v>222</v>
      </c>
      <c r="B11" s="1009"/>
      <c r="C11" s="1029"/>
      <c r="D11" s="1030"/>
      <c r="E11" s="1029"/>
      <c r="F11" s="1031"/>
      <c r="G11" s="1019"/>
    </row>
    <row r="12" spans="1:7" ht="14.25" x14ac:dyDescent="0.25">
      <c r="A12" s="1306"/>
      <c r="B12" s="1009"/>
      <c r="C12" s="1014" t="str">
        <f>C6</f>
        <v xml:space="preserve"> Saldo Cierre/2022</v>
      </c>
      <c r="D12" s="1015" t="s">
        <v>400</v>
      </c>
      <c r="E12" s="1014" t="str">
        <f>E6</f>
        <v>Saldo Cierre/2021</v>
      </c>
      <c r="F12" s="1014" t="s">
        <v>1063</v>
      </c>
      <c r="G12" s="1014" t="s">
        <v>1135</v>
      </c>
    </row>
    <row r="13" spans="1:7" ht="14.25" x14ac:dyDescent="0.25">
      <c r="A13" s="1020" t="s">
        <v>55</v>
      </c>
      <c r="B13" s="1009"/>
      <c r="C13" s="1017">
        <f>+'PYG COMPARTIVO 24-23'!C16</f>
        <v>589747667.71000004</v>
      </c>
      <c r="D13" s="1032">
        <f>+C13/$C$9</f>
        <v>8.7729098290647581E-2</v>
      </c>
      <c r="E13" s="1017">
        <v>0</v>
      </c>
      <c r="F13" s="1017">
        <f>+C13-E13</f>
        <v>589747667.71000004</v>
      </c>
      <c r="G13" s="1056">
        <v>0</v>
      </c>
    </row>
    <row r="14" spans="1:7" ht="14.25" x14ac:dyDescent="0.25">
      <c r="A14" s="1020" t="s">
        <v>1409</v>
      </c>
      <c r="B14" s="1009"/>
      <c r="C14" s="1017">
        <f>+'PYG COMPARTIVO 24-23'!C14</f>
        <v>1793675124.3399999</v>
      </c>
      <c r="D14" s="1032">
        <f>+C14/$C$9</f>
        <v>0.2668217441125883</v>
      </c>
      <c r="E14" s="1017">
        <v>1029333672</v>
      </c>
      <c r="F14" s="1017">
        <f>+C14-E14</f>
        <v>764341452.33999991</v>
      </c>
      <c r="G14" s="1056">
        <f t="shared" ref="G14:G17" si="1">F14/E14</f>
        <v>0.74255945679390922</v>
      </c>
    </row>
    <row r="15" spans="1:7" ht="14.25" x14ac:dyDescent="0.25">
      <c r="A15" s="1020" t="s">
        <v>54</v>
      </c>
      <c r="B15" s="1009"/>
      <c r="C15" s="1017">
        <f>+'PYG COMPARTIVO 24-23'!C15</f>
        <v>598001884</v>
      </c>
      <c r="D15" s="1032">
        <f>+C15/$C$9</f>
        <v>8.8956970806073551E-2</v>
      </c>
      <c r="E15" s="1017">
        <v>526832165</v>
      </c>
      <c r="F15" s="1017">
        <f>+C15-E15</f>
        <v>71169719</v>
      </c>
      <c r="G15" s="1056">
        <f t="shared" si="1"/>
        <v>0.13508992754836827</v>
      </c>
    </row>
    <row r="16" spans="1:7" ht="14.25" x14ac:dyDescent="0.25">
      <c r="A16" s="1021" t="s">
        <v>402</v>
      </c>
      <c r="B16" s="1009"/>
      <c r="C16" s="1022">
        <f>SUM(C13:C15)</f>
        <v>2981424676.0500002</v>
      </c>
      <c r="D16" s="1033">
        <f>+C16/$C$9</f>
        <v>0.44350781320930949</v>
      </c>
      <c r="E16" s="1022">
        <f>SUM(E13:E15)</f>
        <v>1556165837</v>
      </c>
      <c r="F16" s="1017">
        <f>+C16-E16</f>
        <v>1425258839.0500002</v>
      </c>
      <c r="G16" s="1056">
        <f t="shared" si="1"/>
        <v>0.9158785041815567</v>
      </c>
    </row>
    <row r="17" spans="1:7" ht="14.25" x14ac:dyDescent="0.25">
      <c r="A17" s="1021" t="s">
        <v>397</v>
      </c>
      <c r="B17" s="1009"/>
      <c r="C17" s="1022">
        <f>+C9-C16</f>
        <v>3740947708.9499998</v>
      </c>
      <c r="D17" s="1033">
        <f>+C17/$C$9</f>
        <v>0.55649218679069057</v>
      </c>
      <c r="E17" s="1022">
        <f>+E9-E16</f>
        <v>3079296165</v>
      </c>
      <c r="F17" s="1022">
        <f>+C17-E17</f>
        <v>661651543.94999981</v>
      </c>
      <c r="G17" s="1056">
        <f t="shared" si="1"/>
        <v>0.21487103172162714</v>
      </c>
    </row>
    <row r="18" spans="1:7" ht="14.25" x14ac:dyDescent="0.25">
      <c r="A18" s="1025"/>
      <c r="B18" s="1009"/>
      <c r="C18" s="1026"/>
      <c r="D18" s="1034"/>
      <c r="E18" s="1026"/>
      <c r="F18" s="1028"/>
      <c r="G18" s="1019"/>
    </row>
    <row r="19" spans="1:7" ht="14.25" x14ac:dyDescent="0.25">
      <c r="A19" s="1306" t="s">
        <v>224</v>
      </c>
      <c r="B19" s="1009"/>
      <c r="C19" s="1010"/>
      <c r="D19" s="1011"/>
      <c r="E19" s="1010"/>
      <c r="F19" s="1035"/>
      <c r="G19" s="1019"/>
    </row>
    <row r="20" spans="1:7" ht="14.25" x14ac:dyDescent="0.25">
      <c r="A20" s="1306"/>
      <c r="B20" s="1009"/>
      <c r="C20" s="1014" t="str">
        <f>C6</f>
        <v xml:space="preserve"> Saldo Cierre/2022</v>
      </c>
      <c r="D20" s="1015" t="s">
        <v>400</v>
      </c>
      <c r="E20" s="1014" t="str">
        <f>E6</f>
        <v>Saldo Cierre/2021</v>
      </c>
      <c r="F20" s="1014" t="s">
        <v>1063</v>
      </c>
      <c r="G20" s="1014" t="s">
        <v>1135</v>
      </c>
    </row>
    <row r="21" spans="1:7" ht="14.25" hidden="1" x14ac:dyDescent="0.25">
      <c r="A21" s="1016" t="s">
        <v>60</v>
      </c>
      <c r="B21" s="1009"/>
      <c r="C21" s="1036">
        <v>296875745</v>
      </c>
      <c r="D21" s="1037">
        <f t="shared" ref="D21:D35" si="2">+C21/$C$9</f>
        <v>4.4162347456745361E-2</v>
      </c>
      <c r="E21" s="1036">
        <v>-592120.93781000376</v>
      </c>
      <c r="F21" s="1038">
        <f t="shared" ref="F21:F35" si="3">+E21/$C$9</f>
        <v>-8.8082138848962887E-5</v>
      </c>
      <c r="G21" s="1056">
        <f t="shared" ref="G21:G36" si="4">+C21/E21</f>
        <v>-501.376874288576</v>
      </c>
    </row>
    <row r="22" spans="1:7" ht="14.25" hidden="1" x14ac:dyDescent="0.25">
      <c r="A22" s="1016" t="s">
        <v>61</v>
      </c>
      <c r="B22" s="1009"/>
      <c r="C22" s="1036">
        <v>9</v>
      </c>
      <c r="D22" s="1037">
        <f t="shared" si="2"/>
        <v>1.3388130684462224E-9</v>
      </c>
      <c r="E22" s="1036">
        <v>0</v>
      </c>
      <c r="F22" s="1038">
        <f t="shared" si="3"/>
        <v>0</v>
      </c>
      <c r="G22" s="1056" t="e">
        <f t="shared" si="4"/>
        <v>#DIV/0!</v>
      </c>
    </row>
    <row r="23" spans="1:7" ht="14.25" hidden="1" x14ac:dyDescent="0.25">
      <c r="A23" s="1016" t="s">
        <v>62</v>
      </c>
      <c r="B23" s="1009"/>
      <c r="C23" s="1036">
        <v>25160545</v>
      </c>
      <c r="D23" s="1037">
        <f t="shared" si="2"/>
        <v>3.742807383914362E-3</v>
      </c>
      <c r="E23" s="1036">
        <v>49757.005182504654</v>
      </c>
      <c r="F23" s="1038">
        <f t="shared" si="3"/>
        <v>7.4017031983426271E-6</v>
      </c>
      <c r="G23" s="1056">
        <f t="shared" si="4"/>
        <v>505.66839599194452</v>
      </c>
    </row>
    <row r="24" spans="1:7" ht="14.25" hidden="1" x14ac:dyDescent="0.25">
      <c r="A24" s="1016" t="s">
        <v>63</v>
      </c>
      <c r="B24" s="1009"/>
      <c r="C24" s="1036">
        <v>3025236</v>
      </c>
      <c r="D24" s="1037">
        <f t="shared" si="2"/>
        <v>4.5002505465933067E-4</v>
      </c>
      <c r="E24" s="1036">
        <v>0.24062190065160394</v>
      </c>
      <c r="F24" s="1038">
        <f t="shared" si="3"/>
        <v>3.5794193905192879E-11</v>
      </c>
      <c r="G24" s="1056">
        <f t="shared" si="4"/>
        <v>12572571.290508732</v>
      </c>
    </row>
    <row r="25" spans="1:7" ht="14.25" hidden="1" x14ac:dyDescent="0.25">
      <c r="A25" s="1016" t="s">
        <v>64</v>
      </c>
      <c r="B25" s="1009"/>
      <c r="C25" s="1036">
        <v>26916782</v>
      </c>
      <c r="D25" s="1037">
        <f t="shared" si="2"/>
        <v>4.0040599446797831E-3</v>
      </c>
      <c r="E25" s="1036">
        <v>44520.260365001857</v>
      </c>
      <c r="F25" s="1038">
        <f t="shared" si="3"/>
        <v>6.622700709699208E-6</v>
      </c>
      <c r="G25" s="1056">
        <f t="shared" si="4"/>
        <v>604.59623953950961</v>
      </c>
    </row>
    <row r="26" spans="1:7" ht="14.25" hidden="1" x14ac:dyDescent="0.25">
      <c r="A26" s="1016" t="s">
        <v>65</v>
      </c>
      <c r="B26" s="1009"/>
      <c r="C26" s="1036">
        <v>13708623</v>
      </c>
      <c r="D26" s="1037">
        <f t="shared" si="2"/>
        <v>2.0392537358669399E-3</v>
      </c>
      <c r="E26" s="1036">
        <v>43328.130182500929</v>
      </c>
      <c r="F26" s="1038">
        <f t="shared" si="3"/>
        <v>6.4453629910746052E-6</v>
      </c>
      <c r="G26" s="1056">
        <f t="shared" si="4"/>
        <v>316.39082836619951</v>
      </c>
    </row>
    <row r="27" spans="1:7" ht="14.25" hidden="1" x14ac:dyDescent="0.25">
      <c r="A27" s="1016" t="s">
        <v>66</v>
      </c>
      <c r="B27" s="1009"/>
      <c r="C27" s="1036">
        <v>64681044</v>
      </c>
      <c r="D27" s="1037">
        <f t="shared" si="2"/>
        <v>9.6217585542161237E-3</v>
      </c>
      <c r="E27" s="1036">
        <v>118956</v>
      </c>
      <c r="F27" s="1038">
        <f t="shared" si="3"/>
        <v>1.7695538596676535E-5</v>
      </c>
      <c r="G27" s="1056">
        <f t="shared" si="4"/>
        <v>543.73923131241804</v>
      </c>
    </row>
    <row r="28" spans="1:7" ht="14.25" hidden="1" x14ac:dyDescent="0.25">
      <c r="A28" s="1016" t="s">
        <v>67</v>
      </c>
      <c r="B28" s="1009"/>
      <c r="C28" s="1036">
        <v>28290302</v>
      </c>
      <c r="D28" s="1037">
        <f t="shared" si="2"/>
        <v>4.2083806697655888E-3</v>
      </c>
      <c r="E28" s="1036">
        <v>5.1825009286403656E-3</v>
      </c>
      <c r="F28" s="1038">
        <f t="shared" si="3"/>
        <v>7.7093333005537826E-13</v>
      </c>
      <c r="G28" s="1056">
        <f t="shared" si="4"/>
        <v>5458812721.7995481</v>
      </c>
    </row>
    <row r="29" spans="1:7" ht="14.25" hidden="1" x14ac:dyDescent="0.25">
      <c r="A29" s="1016" t="s">
        <v>68</v>
      </c>
      <c r="B29" s="1009"/>
      <c r="C29" s="1036">
        <v>9540000</v>
      </c>
      <c r="D29" s="1037">
        <f t="shared" si="2"/>
        <v>1.4191418525529957E-3</v>
      </c>
      <c r="E29" s="1036">
        <v>0</v>
      </c>
      <c r="F29" s="1038">
        <f t="shared" si="3"/>
        <v>0</v>
      </c>
      <c r="G29" s="1056" t="e">
        <f t="shared" si="4"/>
        <v>#DIV/0!</v>
      </c>
    </row>
    <row r="30" spans="1:7" ht="14.25" hidden="1" x14ac:dyDescent="0.25">
      <c r="A30" s="1016" t="s">
        <v>90</v>
      </c>
      <c r="B30" s="1009"/>
      <c r="C30" s="1036">
        <v>0</v>
      </c>
      <c r="D30" s="1037">
        <f t="shared" si="2"/>
        <v>0</v>
      </c>
      <c r="E30" s="1036">
        <v>0</v>
      </c>
      <c r="F30" s="1038">
        <f t="shared" si="3"/>
        <v>0</v>
      </c>
      <c r="G30" s="1056" t="e">
        <f t="shared" si="4"/>
        <v>#DIV/0!</v>
      </c>
    </row>
    <row r="31" spans="1:7" ht="14.25" hidden="1" x14ac:dyDescent="0.25">
      <c r="A31" s="1016" t="s">
        <v>69</v>
      </c>
      <c r="B31" s="1009"/>
      <c r="C31" s="1036">
        <v>15797147</v>
      </c>
      <c r="D31" s="1037">
        <f t="shared" si="2"/>
        <v>2.3499363164184483E-3</v>
      </c>
      <c r="E31" s="1036">
        <v>0.39999999478459358</v>
      </c>
      <c r="F31" s="1038">
        <f t="shared" si="3"/>
        <v>5.950280226622608E-11</v>
      </c>
      <c r="G31" s="1056">
        <f t="shared" si="4"/>
        <v>39492868.014928393</v>
      </c>
    </row>
    <row r="32" spans="1:7" ht="14.25" hidden="1" x14ac:dyDescent="0.25">
      <c r="A32" s="1016" t="s">
        <v>225</v>
      </c>
      <c r="B32" s="1009"/>
      <c r="C32" s="1036">
        <v>25184108</v>
      </c>
      <c r="D32" s="1037">
        <f t="shared" si="2"/>
        <v>3.7463125452845618E-3</v>
      </c>
      <c r="E32" s="1036">
        <v>4.5286156237125397E-2</v>
      </c>
      <c r="F32" s="1038">
        <f t="shared" si="3"/>
        <v>6.7366330877734312E-12</v>
      </c>
      <c r="G32" s="1056">
        <f t="shared" si="4"/>
        <v>556110522.34444606</v>
      </c>
    </row>
    <row r="33" spans="1:7" ht="14.25" hidden="1" x14ac:dyDescent="0.25">
      <c r="A33" s="1016" t="s">
        <v>226</v>
      </c>
      <c r="B33" s="1009"/>
      <c r="C33" s="1036">
        <v>35554035</v>
      </c>
      <c r="D33" s="1037">
        <f t="shared" si="2"/>
        <v>5.2889118548882647E-3</v>
      </c>
      <c r="E33" s="1036">
        <v>-0.1125371903181076</v>
      </c>
      <c r="F33" s="1038">
        <f t="shared" si="3"/>
        <v>-1.6740695676011351E-11</v>
      </c>
      <c r="G33" s="1056">
        <f t="shared" si="4"/>
        <v>-315931425.86463916</v>
      </c>
    </row>
    <row r="34" spans="1:7" ht="14.25" hidden="1" x14ac:dyDescent="0.25">
      <c r="A34" s="1016" t="s">
        <v>227</v>
      </c>
      <c r="B34" s="1009"/>
      <c r="C34" s="1036">
        <v>5156971</v>
      </c>
      <c r="D34" s="1037">
        <f t="shared" si="2"/>
        <v>7.6713557426646485E-4</v>
      </c>
      <c r="E34" s="1036">
        <v>0.22917314153164625</v>
      </c>
      <c r="F34" s="1038">
        <f t="shared" si="3"/>
        <v>3.4091110757715972E-11</v>
      </c>
      <c r="G34" s="1056">
        <f t="shared" si="4"/>
        <v>22502510.396873362</v>
      </c>
    </row>
    <row r="35" spans="1:7" ht="14.25" hidden="1" x14ac:dyDescent="0.25">
      <c r="A35" s="1016" t="s">
        <v>647</v>
      </c>
      <c r="B35" s="1009"/>
      <c r="C35" s="1036">
        <v>26651181</v>
      </c>
      <c r="D35" s="1037">
        <f t="shared" si="2"/>
        <v>3.9645499347028511E-3</v>
      </c>
      <c r="E35" s="1036">
        <v>0</v>
      </c>
      <c r="F35" s="1038">
        <f t="shared" si="3"/>
        <v>0</v>
      </c>
      <c r="G35" s="1056" t="e">
        <f t="shared" si="4"/>
        <v>#DIV/0!</v>
      </c>
    </row>
    <row r="36" spans="1:7" ht="14.25" hidden="1" x14ac:dyDescent="0.25">
      <c r="A36" s="1016" t="s">
        <v>997</v>
      </c>
      <c r="B36" s="1009"/>
      <c r="C36" s="1036">
        <v>0</v>
      </c>
      <c r="D36" s="1037"/>
      <c r="E36" s="1036">
        <v>0</v>
      </c>
      <c r="F36" s="1038"/>
      <c r="G36" s="1056" t="e">
        <f t="shared" si="4"/>
        <v>#DIV/0!</v>
      </c>
    </row>
    <row r="37" spans="1:7" ht="14.25" x14ac:dyDescent="0.25">
      <c r="A37" s="1039" t="s">
        <v>403</v>
      </c>
      <c r="B37" s="1040"/>
      <c r="C37" s="1041">
        <f>+'EJE PRESUPUESTAL '!B40</f>
        <v>1450553552</v>
      </c>
      <c r="D37" s="1042">
        <f>C37/$C$9</f>
        <v>0.21578000576652076</v>
      </c>
      <c r="E37" s="1041">
        <v>1247303344</v>
      </c>
      <c r="F37" s="1017">
        <f>+C37-E37</f>
        <v>203250208</v>
      </c>
      <c r="G37" s="1056">
        <f t="shared" ref="G37" si="5">F37/E37</f>
        <v>0.16295170615689458</v>
      </c>
    </row>
    <row r="38" spans="1:7" ht="14.25" x14ac:dyDescent="0.25">
      <c r="A38" s="1025"/>
      <c r="B38" s="1009"/>
      <c r="C38" s="1026"/>
      <c r="D38" s="1027"/>
      <c r="E38" s="1026"/>
      <c r="F38" s="1028"/>
      <c r="G38" s="1019"/>
    </row>
    <row r="39" spans="1:7" ht="14.25" x14ac:dyDescent="0.25">
      <c r="A39" s="1008" t="s">
        <v>229</v>
      </c>
      <c r="B39" s="1009"/>
      <c r="C39" s="1057" t="s">
        <v>1410</v>
      </c>
      <c r="D39" s="1015" t="s">
        <v>400</v>
      </c>
      <c r="E39" s="1057" t="s">
        <v>1367</v>
      </c>
      <c r="F39" s="1014" t="s">
        <v>1063</v>
      </c>
      <c r="G39" s="1014" t="s">
        <v>1135</v>
      </c>
    </row>
    <row r="40" spans="1:7" ht="14.25" x14ac:dyDescent="0.25">
      <c r="A40" s="1020" t="s">
        <v>1419</v>
      </c>
      <c r="B40" s="1026"/>
      <c r="C40" s="1017">
        <f>+'EJE PRESUPUESTAL '!B89</f>
        <v>2015200881.73</v>
      </c>
      <c r="D40" s="1055">
        <f>C40/$C$9</f>
        <v>0.299775252889386</v>
      </c>
      <c r="E40" s="1017">
        <v>1519905566</v>
      </c>
      <c r="F40" s="1065">
        <f>+C40-E40</f>
        <v>495295315.73000002</v>
      </c>
      <c r="G40" s="1066">
        <f t="shared" ref="G40:G43" si="6">F40/E40</f>
        <v>0.32587242708340736</v>
      </c>
    </row>
    <row r="41" spans="1:7" ht="14.25" x14ac:dyDescent="0.25">
      <c r="A41" s="1021" t="s">
        <v>247</v>
      </c>
      <c r="B41" s="1009"/>
      <c r="C41" s="1022">
        <f>+C37+C40</f>
        <v>3465754433.73</v>
      </c>
      <c r="D41" s="1023">
        <f>+C41/$C$9</f>
        <v>0.51555525865590679</v>
      </c>
      <c r="E41" s="1024">
        <f>+E37+E40</f>
        <v>2767208910</v>
      </c>
      <c r="F41" s="1024">
        <f>+C41-E41</f>
        <v>698545523.73000002</v>
      </c>
      <c r="G41" s="1066">
        <f t="shared" si="6"/>
        <v>0.25243685838305574</v>
      </c>
    </row>
    <row r="42" spans="1:7" ht="14.25" x14ac:dyDescent="0.25">
      <c r="A42" s="1043"/>
      <c r="B42" s="1009"/>
      <c r="C42" s="1040"/>
      <c r="D42" s="1044"/>
      <c r="E42" s="1040"/>
      <c r="F42" s="1045"/>
      <c r="G42" s="1066"/>
    </row>
    <row r="43" spans="1:7" ht="14.25" x14ac:dyDescent="0.25">
      <c r="A43" s="1021" t="s">
        <v>398</v>
      </c>
      <c r="B43" s="1009"/>
      <c r="C43" s="1022">
        <f>+C17-C41</f>
        <v>275193275.21999979</v>
      </c>
      <c r="D43" s="1023">
        <f>C43/C9</f>
        <v>4.0936928134783744E-2</v>
      </c>
      <c r="E43" s="1022">
        <f>+E17-E41</f>
        <v>312087255</v>
      </c>
      <c r="F43" s="1022">
        <f>+C43-E43</f>
        <v>-36893979.78000021</v>
      </c>
      <c r="G43" s="1066">
        <f t="shared" si="6"/>
        <v>-0.11821687425204278</v>
      </c>
    </row>
    <row r="44" spans="1:7" s="295" customFormat="1" ht="14.25" x14ac:dyDescent="0.25">
      <c r="A44" s="1046"/>
      <c r="B44" s="1009"/>
      <c r="C44" s="1047"/>
      <c r="D44" s="1048"/>
      <c r="E44" s="1047"/>
      <c r="F44" s="1049"/>
      <c r="G44" s="1019"/>
    </row>
    <row r="45" spans="1:7" ht="14.25" x14ac:dyDescent="0.25">
      <c r="A45" s="1306" t="s">
        <v>404</v>
      </c>
      <c r="B45" s="1009"/>
      <c r="C45" s="1029"/>
      <c r="D45" s="1030"/>
      <c r="E45" s="1029"/>
      <c r="F45" s="1031"/>
      <c r="G45" s="1019"/>
    </row>
    <row r="46" spans="1:7" ht="14.25" x14ac:dyDescent="0.25">
      <c r="A46" s="1306"/>
      <c r="B46" s="1009"/>
      <c r="C46" s="1014" t="str">
        <f>C6</f>
        <v xml:space="preserve"> Saldo Cierre/2022</v>
      </c>
      <c r="D46" s="1015" t="s">
        <v>400</v>
      </c>
      <c r="E46" s="1014" t="str">
        <f>E6</f>
        <v>Saldo Cierre/2021</v>
      </c>
      <c r="F46" s="1014" t="s">
        <v>1063</v>
      </c>
      <c r="G46" s="1014" t="s">
        <v>1135</v>
      </c>
    </row>
    <row r="47" spans="1:7" ht="14.25" x14ac:dyDescent="0.25">
      <c r="A47" s="1050" t="s">
        <v>111</v>
      </c>
      <c r="B47" s="1009"/>
      <c r="C47" s="1041">
        <f>+'PYG COMPARTIVO 24-23'!C76</f>
        <v>325865654.75999999</v>
      </c>
      <c r="D47" s="1018">
        <f>+C47/$C$9</f>
        <v>4.8474799683385882E-2</v>
      </c>
      <c r="E47" s="1041">
        <v>70911785</v>
      </c>
      <c r="F47" s="1041">
        <f>+C47-E47</f>
        <v>254953869.75999999</v>
      </c>
      <c r="G47" s="1056">
        <f t="shared" ref="G47:G52" si="7">F47/E47</f>
        <v>3.5953666906001591</v>
      </c>
    </row>
    <row r="48" spans="1:7" ht="14.25" x14ac:dyDescent="0.25">
      <c r="A48" s="1050" t="s">
        <v>1375</v>
      </c>
      <c r="B48" s="1009"/>
      <c r="C48" s="1041">
        <v>0</v>
      </c>
      <c r="D48" s="1018">
        <f>+C48/$C$9</f>
        <v>0</v>
      </c>
      <c r="E48" s="1041">
        <v>86091744</v>
      </c>
      <c r="F48" s="1041">
        <f>+C48-E48</f>
        <v>-86091744</v>
      </c>
      <c r="G48" s="1056">
        <f t="shared" si="7"/>
        <v>-1</v>
      </c>
    </row>
    <row r="49" spans="1:7" ht="14.25" x14ac:dyDescent="0.25">
      <c r="A49" s="1050" t="str">
        <f>+'PYG COMPARTIVO 24-23'!A77</f>
        <v>INGRESO POR PAGO INCAPACIDADES-LICENCIAS</v>
      </c>
      <c r="B49" s="1009"/>
      <c r="C49" s="1041">
        <f>+'PYG COMPARTIVO 24-23'!C77</f>
        <v>9120444</v>
      </c>
      <c r="D49" s="1032">
        <f>+C49/$C$9</f>
        <v>1.3567299574702154E-3</v>
      </c>
      <c r="E49" s="1041">
        <v>4733315</v>
      </c>
      <c r="F49" s="1041">
        <f t="shared" ref="F49:F50" si="8">+C49-E49</f>
        <v>4387129</v>
      </c>
      <c r="G49" s="1056">
        <f t="shared" si="7"/>
        <v>0.92686182939440964</v>
      </c>
    </row>
    <row r="50" spans="1:7" ht="14.25" x14ac:dyDescent="0.25">
      <c r="A50" s="1021" t="s">
        <v>405</v>
      </c>
      <c r="B50" s="1009"/>
      <c r="C50" s="1022">
        <f>SUM(C47:C49)</f>
        <v>334986098.75999999</v>
      </c>
      <c r="D50" s="1042">
        <f>+C50/$C$9</f>
        <v>4.9831529640856097E-2</v>
      </c>
      <c r="E50" s="1022">
        <f>SUM(E47:E49)</f>
        <v>161736844</v>
      </c>
      <c r="F50" s="1041">
        <f t="shared" si="8"/>
        <v>173249254.75999999</v>
      </c>
      <c r="G50" s="1056">
        <f t="shared" si="7"/>
        <v>1.0711798899699068</v>
      </c>
    </row>
    <row r="51" spans="1:7" s="295" customFormat="1" ht="14.25" x14ac:dyDescent="0.25">
      <c r="A51" s="1051"/>
      <c r="B51" s="1009"/>
      <c r="C51" s="1048"/>
      <c r="D51" s="1052"/>
      <c r="E51" s="1048"/>
      <c r="F51" s="1053"/>
      <c r="G51" s="1056"/>
    </row>
    <row r="52" spans="1:7" ht="14.25" x14ac:dyDescent="0.25">
      <c r="A52" s="1054" t="s">
        <v>399</v>
      </c>
      <c r="B52" s="1009"/>
      <c r="C52" s="1022">
        <f>+C43+C50</f>
        <v>610179373.97999978</v>
      </c>
      <c r="D52" s="1023">
        <f>+C52/$C$9</f>
        <v>9.0768457775639841E-2</v>
      </c>
      <c r="E52" s="1022">
        <f>+E43+E50</f>
        <v>473824099</v>
      </c>
      <c r="F52" s="1022">
        <f>+C52-E52</f>
        <v>136355274.97999978</v>
      </c>
      <c r="G52" s="1056">
        <f t="shared" si="7"/>
        <v>0.28777614998429996</v>
      </c>
    </row>
    <row r="53" spans="1:7" ht="20.100000000000001" customHeight="1" x14ac:dyDescent="0.25">
      <c r="A53" s="380"/>
      <c r="C53" s="632"/>
      <c r="D53" s="380"/>
      <c r="E53" s="630"/>
    </row>
    <row r="54" spans="1:7" ht="20.100000000000001" customHeight="1" x14ac:dyDescent="0.25">
      <c r="A54" s="307"/>
      <c r="C54" s="418"/>
      <c r="D54" s="377"/>
      <c r="E54" s="630"/>
    </row>
    <row r="55" spans="1:7" ht="20.100000000000001" customHeight="1" x14ac:dyDescent="0.25">
      <c r="A55" s="643" t="s">
        <v>1091</v>
      </c>
      <c r="B55" s="644" t="s">
        <v>1171</v>
      </c>
      <c r="C55" s="644"/>
      <c r="E55" s="1275" t="s">
        <v>1366</v>
      </c>
      <c r="F55" s="1275"/>
      <c r="G55" s="1275"/>
    </row>
    <row r="56" spans="1:7" ht="24.75" customHeight="1" x14ac:dyDescent="0.25">
      <c r="A56" s="643" t="s">
        <v>1092</v>
      </c>
      <c r="B56" s="647" t="s">
        <v>1287</v>
      </c>
      <c r="C56" s="646"/>
      <c r="E56" s="1275" t="s">
        <v>1365</v>
      </c>
      <c r="F56" s="1275"/>
      <c r="G56" s="1275"/>
    </row>
    <row r="57" spans="1:7" ht="20.100000000000001" customHeight="1" x14ac:dyDescent="0.25">
      <c r="A57" s="643"/>
      <c r="B57" s="643"/>
      <c r="C57" s="643"/>
      <c r="E57" s="1275" t="s">
        <v>1371</v>
      </c>
      <c r="F57" s="1275"/>
      <c r="G57" s="1275"/>
    </row>
    <row r="58" spans="1:7" ht="20.100000000000001" customHeight="1" x14ac:dyDescent="0.25">
      <c r="A58" s="1274"/>
      <c r="B58" s="1274"/>
      <c r="C58" s="1274"/>
      <c r="E58" s="1274" t="s">
        <v>1347</v>
      </c>
      <c r="F58" s="1274"/>
      <c r="G58" s="1274"/>
    </row>
    <row r="59" spans="1:7" ht="20.100000000000001" customHeight="1" x14ac:dyDescent="0.25">
      <c r="B59" s="635"/>
      <c r="F59" s="360"/>
    </row>
    <row r="60" spans="1:7" ht="20.100000000000001" customHeight="1" x14ac:dyDescent="0.25">
      <c r="B60" s="635"/>
      <c r="F60" s="360"/>
    </row>
    <row r="61" spans="1:7" ht="20.100000000000001" customHeight="1" x14ac:dyDescent="0.25">
      <c r="B61" s="635"/>
      <c r="F61" s="360"/>
    </row>
    <row r="62" spans="1:7" ht="20.100000000000001" customHeight="1" x14ac:dyDescent="0.25">
      <c r="B62" s="635"/>
      <c r="F62" s="360"/>
    </row>
  </sheetData>
  <mergeCells count="12">
    <mergeCell ref="E58:G58"/>
    <mergeCell ref="A58:C58"/>
    <mergeCell ref="A2:F2"/>
    <mergeCell ref="A3:F3"/>
    <mergeCell ref="A5:A6"/>
    <mergeCell ref="A11:A12"/>
    <mergeCell ref="E55:G55"/>
    <mergeCell ref="E56:G56"/>
    <mergeCell ref="A45:A46"/>
    <mergeCell ref="A19:A20"/>
    <mergeCell ref="E57:G57"/>
    <mergeCell ref="A4:F4"/>
  </mergeCells>
  <pageMargins left="0.70866141732283472" right="0.70866141732283472" top="0.74803149606299213" bottom="1.1417322834645669" header="0.31496062992125984" footer="0.31496062992125984"/>
  <pageSetup scale="64" firstPageNumber="0" fitToWidth="2" fitToHeight="2" orientation="portrait" verticalDpi="300" r:id="rId1"/>
  <headerFooter alignWithMargins="0"/>
  <rowBreaks count="1" manualBreakCount="1">
    <brk id="38" max="16383" man="1"/>
  </rowBreaks>
  <colBreaks count="1" manualBreakCount="1">
    <brk id="6" max="1048575" man="1"/>
  </colBreaks>
  <ignoredErrors>
    <ignoredError sqref="E9 C9" formulaRange="1"/>
    <ignoredError sqref="D52 D50 D41:D48 D9:D13 D16:D38" formula="1"/>
  </ignoredError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tabColor rgb="FFFF0000"/>
  </sheetPr>
  <dimension ref="A1:G70"/>
  <sheetViews>
    <sheetView workbookViewId="0">
      <selection sqref="A1:E1"/>
    </sheetView>
  </sheetViews>
  <sheetFormatPr baseColWidth="10" defaultRowHeight="15" x14ac:dyDescent="0.2"/>
  <cols>
    <col min="1" max="1" width="42.77734375" bestFit="1" customWidth="1"/>
    <col min="2" max="2" width="22.6640625" bestFit="1" customWidth="1"/>
    <col min="3" max="3" width="12.109375" bestFit="1" customWidth="1"/>
    <col min="4" max="4" width="22.5546875" bestFit="1" customWidth="1"/>
    <col min="5" max="5" width="11.109375" customWidth="1"/>
    <col min="6" max="6" width="13.33203125" bestFit="1" customWidth="1"/>
    <col min="7" max="7" width="14.21875" customWidth="1"/>
    <col min="8" max="8" width="15.33203125" bestFit="1" customWidth="1"/>
  </cols>
  <sheetData>
    <row r="1" spans="1:5" ht="15.75" x14ac:dyDescent="0.25">
      <c r="A1" s="1307" t="s">
        <v>216</v>
      </c>
      <c r="B1" s="1307"/>
      <c r="C1" s="1307"/>
      <c r="D1" s="1307"/>
      <c r="E1" s="1307"/>
    </row>
    <row r="2" spans="1:5" ht="15.75" x14ac:dyDescent="0.25">
      <c r="A2" s="1307" t="s">
        <v>1133</v>
      </c>
      <c r="B2" s="1307"/>
      <c r="C2" s="1307"/>
      <c r="D2" s="1307"/>
      <c r="E2" s="1307"/>
    </row>
    <row r="3" spans="1:5" ht="16.5" thickBot="1" x14ac:dyDescent="0.3">
      <c r="A3" s="1307" t="s">
        <v>1240</v>
      </c>
      <c r="B3" s="1307"/>
      <c r="C3" s="1307"/>
      <c r="D3" s="1307"/>
      <c r="E3" s="1307"/>
    </row>
    <row r="4" spans="1:5" ht="18.75" thickBot="1" x14ac:dyDescent="0.3">
      <c r="A4" s="1308" t="s">
        <v>1134</v>
      </c>
      <c r="B4" s="1309"/>
      <c r="C4" s="1309"/>
      <c r="D4" s="1309"/>
      <c r="E4" s="1310"/>
    </row>
    <row r="5" spans="1:5" ht="16.5" thickBot="1" x14ac:dyDescent="0.3">
      <c r="A5" s="708" t="s">
        <v>1134</v>
      </c>
      <c r="B5" s="709" t="s">
        <v>1238</v>
      </c>
      <c r="C5" s="710" t="s">
        <v>1172</v>
      </c>
      <c r="D5" s="711" t="s">
        <v>1063</v>
      </c>
      <c r="E5" s="712" t="s">
        <v>1135</v>
      </c>
    </row>
    <row r="6" spans="1:5" ht="15.75" x14ac:dyDescent="0.25">
      <c r="A6" s="746" t="s">
        <v>1155</v>
      </c>
      <c r="B6" s="665">
        <f>+'PYG COMPARTIVO 24-23'!C80</f>
        <v>601693056.97999978</v>
      </c>
      <c r="C6" s="666">
        <v>249663543.13000011</v>
      </c>
      <c r="D6" s="667">
        <f>+B6-C6</f>
        <v>352029513.84999967</v>
      </c>
      <c r="E6" s="668">
        <f>+D6/C6</f>
        <v>1.4100156932672283</v>
      </c>
    </row>
    <row r="7" spans="1:5" ht="15.75" x14ac:dyDescent="0.25">
      <c r="A7" s="680" t="s">
        <v>1156</v>
      </c>
      <c r="B7" s="665"/>
      <c r="C7" s="666"/>
      <c r="D7" s="667"/>
      <c r="E7" s="668"/>
    </row>
    <row r="8" spans="1:5" ht="15.75" x14ac:dyDescent="0.25">
      <c r="A8" s="680" t="s">
        <v>1157</v>
      </c>
      <c r="B8" s="665"/>
      <c r="C8" s="666"/>
      <c r="D8" s="667"/>
      <c r="E8" s="668"/>
    </row>
    <row r="9" spans="1:5" ht="15.75" x14ac:dyDescent="0.25">
      <c r="A9" s="680" t="s">
        <v>97</v>
      </c>
      <c r="B9" s="665">
        <f>+'PYG COMPARTIVO 24-23'!C60</f>
        <v>99107469</v>
      </c>
      <c r="C9" s="667">
        <v>64602578</v>
      </c>
      <c r="D9" s="667">
        <f>+B9-C9</f>
        <v>34504891</v>
      </c>
      <c r="E9" s="668">
        <f>+D9/C9</f>
        <v>0.53411012483124121</v>
      </c>
    </row>
    <row r="10" spans="1:5" ht="15.75" x14ac:dyDescent="0.25">
      <c r="A10" s="680" t="s">
        <v>1158</v>
      </c>
      <c r="B10" s="666">
        <f>+'FLUJO DE EFECTIVO 24-23'!B10</f>
        <v>-319408338</v>
      </c>
      <c r="C10" s="666">
        <v>-11723820</v>
      </c>
      <c r="D10" s="667">
        <f>+B10-C10</f>
        <v>-307684518</v>
      </c>
      <c r="E10" s="668">
        <f>+D10/C10</f>
        <v>26.24439116260741</v>
      </c>
    </row>
    <row r="11" spans="1:5" ht="15.75" x14ac:dyDescent="0.25">
      <c r="A11" s="747" t="s">
        <v>1159</v>
      </c>
      <c r="B11" s="666">
        <v>0</v>
      </c>
      <c r="C11" s="666">
        <v>0</v>
      </c>
      <c r="D11" s="667"/>
      <c r="E11" s="671">
        <v>0</v>
      </c>
    </row>
    <row r="12" spans="1:5" ht="15.75" x14ac:dyDescent="0.25">
      <c r="A12" s="672" t="s">
        <v>1136</v>
      </c>
      <c r="B12" s="673">
        <f>+B6+B9+B10</f>
        <v>381392187.97999978</v>
      </c>
      <c r="C12" s="673">
        <f>+C6+C9+C10</f>
        <v>302542301.13000011</v>
      </c>
      <c r="D12" s="673">
        <f>+D6+D9+D10</f>
        <v>78849886.849999666</v>
      </c>
      <c r="E12" s="674">
        <f>SUM(E6:E11)</f>
        <v>28.188516980705881</v>
      </c>
    </row>
    <row r="13" spans="1:5" ht="15.75" x14ac:dyDescent="0.25">
      <c r="A13" s="669"/>
      <c r="B13" s="675"/>
      <c r="C13" s="676"/>
      <c r="D13" s="676"/>
      <c r="E13" s="677"/>
    </row>
    <row r="14" spans="1:5" ht="15.75" x14ac:dyDescent="0.25">
      <c r="A14" s="748" t="s">
        <v>1137</v>
      </c>
      <c r="B14" s="749"/>
      <c r="C14" s="750"/>
      <c r="D14" s="751"/>
      <c r="E14" s="752"/>
    </row>
    <row r="15" spans="1:5" ht="15.75" x14ac:dyDescent="0.25">
      <c r="A15" s="680" t="s">
        <v>1160</v>
      </c>
      <c r="B15" s="683">
        <f>+'ESTADO SIT FINANCIERA 24-23'!F66</f>
        <v>-94964903</v>
      </c>
      <c r="C15" s="681">
        <v>149053325</v>
      </c>
      <c r="D15" s="666">
        <f t="shared" ref="D15:D23" si="0">+B15-C15</f>
        <v>-244018228</v>
      </c>
      <c r="E15" s="682">
        <f t="shared" ref="E15:E23" si="1">+D15/C15</f>
        <v>-1.637120325896789</v>
      </c>
    </row>
    <row r="16" spans="1:5" ht="15.75" x14ac:dyDescent="0.25">
      <c r="A16" s="680" t="s">
        <v>1161</v>
      </c>
      <c r="B16" s="683">
        <f>+'ESTADO SIT FINANCIERA 24-23'!F59</f>
        <v>1688898531.5</v>
      </c>
      <c r="C16" s="681">
        <v>1574206289</v>
      </c>
      <c r="D16" s="666">
        <f t="shared" si="0"/>
        <v>114692242.5</v>
      </c>
      <c r="E16" s="682">
        <f t="shared" si="1"/>
        <v>7.2857187333978432E-2</v>
      </c>
    </row>
    <row r="17" spans="1:5" ht="15.75" x14ac:dyDescent="0.25">
      <c r="A17" s="680" t="s">
        <v>42</v>
      </c>
      <c r="B17" s="683">
        <f>+'ESTADO SIT FINANCIERA 24-23'!F68</f>
        <v>2327997</v>
      </c>
      <c r="C17" s="681">
        <v>100738359.11000001</v>
      </c>
      <c r="D17" s="666">
        <f t="shared" si="0"/>
        <v>-98410362.110000014</v>
      </c>
      <c r="E17" s="682">
        <f t="shared" si="1"/>
        <v>-0.97689065991775814</v>
      </c>
    </row>
    <row r="18" spans="1:5" ht="15.75" x14ac:dyDescent="0.25">
      <c r="A18" s="680" t="str">
        <f>+'ESTADO SIT FINANCIERA 24-23'!B70</f>
        <v>FONDOS SOCIALES CAPITALIZADOS</v>
      </c>
      <c r="B18" s="683">
        <f>+'ESTADO SIT FINANCIERA 24-23'!F70</f>
        <v>0</v>
      </c>
      <c r="C18" s="681">
        <v>0</v>
      </c>
      <c r="D18" s="666"/>
      <c r="E18" s="682"/>
    </row>
    <row r="19" spans="1:5" ht="15.75" x14ac:dyDescent="0.25">
      <c r="A19" s="680" t="s">
        <v>1162</v>
      </c>
      <c r="B19" s="724">
        <v>0</v>
      </c>
      <c r="C19" s="681">
        <v>0</v>
      </c>
      <c r="D19" s="666">
        <v>0</v>
      </c>
      <c r="E19" s="682">
        <v>0</v>
      </c>
    </row>
    <row r="20" spans="1:5" ht="15.75" x14ac:dyDescent="0.25">
      <c r="A20" s="680" t="s">
        <v>1163</v>
      </c>
      <c r="B20" s="724">
        <v>0</v>
      </c>
      <c r="C20" s="681">
        <v>0</v>
      </c>
      <c r="D20" s="666">
        <v>0</v>
      </c>
      <c r="E20" s="682">
        <v>0</v>
      </c>
    </row>
    <row r="21" spans="1:5" ht="15.75" x14ac:dyDescent="0.25">
      <c r="A21" s="680" t="s">
        <v>1164</v>
      </c>
      <c r="B21" s="724">
        <v>0</v>
      </c>
      <c r="C21" s="681">
        <v>0</v>
      </c>
      <c r="D21" s="666">
        <v>0</v>
      </c>
      <c r="E21" s="682">
        <v>0</v>
      </c>
    </row>
    <row r="22" spans="1:5" ht="15.75" x14ac:dyDescent="0.25">
      <c r="A22" s="680" t="s">
        <v>40</v>
      </c>
      <c r="B22" s="726">
        <v>0</v>
      </c>
      <c r="C22" s="685">
        <v>0</v>
      </c>
      <c r="D22" s="686">
        <v>0</v>
      </c>
      <c r="E22" s="725">
        <v>0</v>
      </c>
    </row>
    <row r="23" spans="1:5" ht="15.75" x14ac:dyDescent="0.25">
      <c r="A23" s="687" t="s">
        <v>1165</v>
      </c>
      <c r="B23" s="688">
        <f>SUM(B15:B22)</f>
        <v>1596261625.5</v>
      </c>
      <c r="C23" s="689">
        <f>SUM(C15:C22)</f>
        <v>1823997973.1100001</v>
      </c>
      <c r="D23" s="690">
        <f t="shared" si="0"/>
        <v>-227736347.61000013</v>
      </c>
      <c r="E23" s="691">
        <f t="shared" si="1"/>
        <v>-0.12485559247727629</v>
      </c>
    </row>
    <row r="24" spans="1:5" ht="15.75" x14ac:dyDescent="0.25">
      <c r="A24" s="753" t="s">
        <v>1138</v>
      </c>
      <c r="B24" s="754">
        <f>+B12+B23</f>
        <v>1977653813.4799998</v>
      </c>
      <c r="C24" s="673">
        <f>+C12+C23</f>
        <v>2126540274.2400002</v>
      </c>
      <c r="D24" s="673">
        <f>+D12+D23</f>
        <v>-148886460.76000047</v>
      </c>
      <c r="E24" s="692">
        <f>SUM(E15:E23)</f>
        <v>-2.6660093909578451</v>
      </c>
    </row>
    <row r="25" spans="1:5" ht="16.5" thickBot="1" x14ac:dyDescent="0.3">
      <c r="A25" s="693"/>
      <c r="B25" s="675"/>
      <c r="C25" s="676"/>
      <c r="D25" s="676"/>
      <c r="E25" s="677"/>
    </row>
    <row r="26" spans="1:5" ht="18.75" thickBot="1" x14ac:dyDescent="0.3">
      <c r="A26" s="1311" t="s">
        <v>1139</v>
      </c>
      <c r="B26" s="1312"/>
      <c r="C26" s="1312"/>
      <c r="D26" s="1309"/>
      <c r="E26" s="1310"/>
    </row>
    <row r="27" spans="1:5" ht="15.75" x14ac:dyDescent="0.25">
      <c r="A27" s="729" t="s">
        <v>1139</v>
      </c>
      <c r="B27" s="730" t="s">
        <v>1238</v>
      </c>
      <c r="C27" s="731" t="s">
        <v>1172</v>
      </c>
      <c r="D27" s="732" t="s">
        <v>1063</v>
      </c>
      <c r="E27" s="728" t="s">
        <v>1135</v>
      </c>
    </row>
    <row r="28" spans="1:5" ht="15.75" x14ac:dyDescent="0.25">
      <c r="A28" s="733" t="s">
        <v>1166</v>
      </c>
      <c r="B28" s="734">
        <f>+'ESTADO SIT FINANCIERA 24-23'!F23*-1+43217019</f>
        <v>-1152613881</v>
      </c>
      <c r="C28" s="740">
        <v>-1248758941</v>
      </c>
      <c r="D28" s="734">
        <f t="shared" ref="D28:D34" si="2">+B28-C28</f>
        <v>96145060</v>
      </c>
      <c r="E28" s="742">
        <f t="shared" ref="E28:E34" si="3">+D28/C28</f>
        <v>-7.6992489777897008E-2</v>
      </c>
    </row>
    <row r="29" spans="1:5" ht="15.75" x14ac:dyDescent="0.25">
      <c r="A29" s="735" t="s">
        <v>1167</v>
      </c>
      <c r="B29" s="684">
        <f>(+'ESTADO SIT FINANCIERA 24-23'!F32+'ESTADO SIT FINANCIERA 24-23'!F33)*-1</f>
        <v>-42584337.999999985</v>
      </c>
      <c r="C29" s="681">
        <v>-7664721.450000003</v>
      </c>
      <c r="D29" s="684">
        <f t="shared" si="2"/>
        <v>-34919616.549999982</v>
      </c>
      <c r="E29" s="743">
        <f t="shared" si="3"/>
        <v>4.5558885313438191</v>
      </c>
    </row>
    <row r="30" spans="1:5" ht="15.75" x14ac:dyDescent="0.25">
      <c r="A30" s="735" t="s">
        <v>650</v>
      </c>
      <c r="B30" s="684" t="e">
        <f>+'ESTADO SIT FINANCIERA 24-23'!#REF!</f>
        <v>#REF!</v>
      </c>
      <c r="C30" s="681" t="e">
        <f>+'ESTADO SIT FINANCIERA 24-23'!#REF!</f>
        <v>#REF!</v>
      </c>
      <c r="D30" s="684" t="e">
        <f t="shared" si="2"/>
        <v>#REF!</v>
      </c>
      <c r="E30" s="743"/>
    </row>
    <row r="31" spans="1:5" ht="15.75" x14ac:dyDescent="0.25">
      <c r="A31" s="735" t="s">
        <v>1168</v>
      </c>
      <c r="B31" s="684">
        <f>+'ESTADO SIT FINANCIERA 24-23'!F60</f>
        <v>-3341035996.1599998</v>
      </c>
      <c r="C31" s="681">
        <v>-687908342</v>
      </c>
      <c r="D31" s="684">
        <f t="shared" si="2"/>
        <v>-2653127654.1599998</v>
      </c>
      <c r="E31" s="743">
        <f t="shared" si="3"/>
        <v>3.8568040132300063</v>
      </c>
    </row>
    <row r="32" spans="1:5" ht="15.75" x14ac:dyDescent="0.25">
      <c r="A32" s="735" t="s">
        <v>1169</v>
      </c>
      <c r="B32" s="684">
        <f>+'ESTADO SIT FINANCIERA 24-23'!F39*-1</f>
        <v>-7888668.9999999925</v>
      </c>
      <c r="C32" s="681">
        <v>-27148045</v>
      </c>
      <c r="D32" s="684">
        <f t="shared" si="2"/>
        <v>19259376.000000007</v>
      </c>
      <c r="E32" s="743">
        <f t="shared" si="3"/>
        <v>-0.70942036526018748</v>
      </c>
    </row>
    <row r="33" spans="1:7" ht="15.75" x14ac:dyDescent="0.25">
      <c r="A33" s="735" t="s">
        <v>1170</v>
      </c>
      <c r="B33" s="694">
        <f>+'ESTADO SIT FINANCIERA 24-23'!E75*-1</f>
        <v>-232799740</v>
      </c>
      <c r="C33" s="741">
        <v>-249663543</v>
      </c>
      <c r="D33" s="694">
        <f t="shared" si="2"/>
        <v>16863803</v>
      </c>
      <c r="E33" s="739">
        <f t="shared" si="3"/>
        <v>-6.754611745616379E-2</v>
      </c>
    </row>
    <row r="34" spans="1:7" ht="15.75" x14ac:dyDescent="0.25">
      <c r="A34" s="736" t="s">
        <v>1140</v>
      </c>
      <c r="B34" s="695" t="e">
        <f>SUM(B28:B33)</f>
        <v>#REF!</v>
      </c>
      <c r="C34" s="696" t="e">
        <f>SUM(C28:C33)</f>
        <v>#REF!</v>
      </c>
      <c r="D34" s="697" t="e">
        <f t="shared" si="2"/>
        <v>#REF!</v>
      </c>
      <c r="E34" s="737" t="e">
        <f t="shared" si="3"/>
        <v>#REF!</v>
      </c>
      <c r="G34" s="681"/>
    </row>
    <row r="35" spans="1:7" ht="15.75" x14ac:dyDescent="0.25">
      <c r="A35" s="738"/>
      <c r="B35" s="698"/>
      <c r="C35" s="685"/>
      <c r="D35" s="727"/>
      <c r="E35" s="739">
        <v>0</v>
      </c>
      <c r="G35" s="681"/>
    </row>
    <row r="36" spans="1:7" ht="15.75" x14ac:dyDescent="0.25">
      <c r="A36" s="713" t="s">
        <v>1141</v>
      </c>
      <c r="B36" s="714" t="e">
        <f>+B24+B34</f>
        <v>#REF!</v>
      </c>
      <c r="C36" s="714" t="e">
        <f>+C24+C34</f>
        <v>#REF!</v>
      </c>
      <c r="D36" s="714" t="e">
        <f>+D24-D34</f>
        <v>#REF!</v>
      </c>
      <c r="E36" s="715" t="e">
        <f>SUM(E28:E35)</f>
        <v>#REF!</v>
      </c>
      <c r="G36" s="681"/>
    </row>
    <row r="37" spans="1:7" ht="15.75" x14ac:dyDescent="0.25">
      <c r="A37" s="669"/>
      <c r="B37" s="699"/>
      <c r="C37" s="681"/>
      <c r="D37" s="681"/>
      <c r="E37" s="700"/>
      <c r="G37" s="681"/>
    </row>
    <row r="38" spans="1:7" ht="15.75" x14ac:dyDescent="0.25">
      <c r="A38" s="716" t="s">
        <v>1142</v>
      </c>
      <c r="B38" s="713"/>
      <c r="C38" s="713"/>
      <c r="D38" s="713"/>
      <c r="E38" s="713"/>
      <c r="G38" s="681"/>
    </row>
    <row r="39" spans="1:7" ht="15.75" x14ac:dyDescent="0.25">
      <c r="A39" s="701" t="s">
        <v>1143</v>
      </c>
      <c r="B39" s="702"/>
      <c r="C39" s="703"/>
      <c r="D39" s="676"/>
      <c r="E39" s="677"/>
      <c r="G39" s="681"/>
    </row>
    <row r="40" spans="1:7" ht="15.75" x14ac:dyDescent="0.25">
      <c r="A40" s="664" t="s">
        <v>27</v>
      </c>
      <c r="B40" s="667">
        <f>+'ESTADO SIT FINANCIERA 24-23'!F6</f>
        <v>32574585.960000038</v>
      </c>
      <c r="C40" s="667">
        <v>53818361</v>
      </c>
      <c r="D40" s="666">
        <f>+B40-C40</f>
        <v>-21243775.039999962</v>
      </c>
      <c r="E40" s="682">
        <f t="shared" ref="E40:E45" si="4">+D40/C40</f>
        <v>-0.39473099227232061</v>
      </c>
      <c r="G40" s="681"/>
    </row>
    <row r="41" spans="1:7" ht="15.75" x14ac:dyDescent="0.25">
      <c r="A41" s="664" t="s">
        <v>1455</v>
      </c>
      <c r="C41" s="667">
        <v>500000000</v>
      </c>
      <c r="D41" s="666">
        <f>+B41-C41</f>
        <v>-500000000</v>
      </c>
      <c r="E41" s="682">
        <v>0</v>
      </c>
    </row>
    <row r="42" spans="1:7" ht="15.75" x14ac:dyDescent="0.25">
      <c r="A42" s="664" t="s">
        <v>29</v>
      </c>
      <c r="B42" s="667">
        <f>+'ESTADO SIT FINANCIERA 24-23'!F8</f>
        <v>566952754</v>
      </c>
      <c r="C42" s="667">
        <v>64713761</v>
      </c>
      <c r="D42" s="666">
        <v>0</v>
      </c>
      <c r="E42" s="682">
        <v>0</v>
      </c>
    </row>
    <row r="43" spans="1:7" ht="15.75" x14ac:dyDescent="0.25">
      <c r="A43" s="664" t="s">
        <v>1066</v>
      </c>
      <c r="B43" s="667">
        <f>+'ESTADO SIT FINANCIERA 24-23'!F10</f>
        <v>-33907437</v>
      </c>
      <c r="C43" s="667">
        <v>614887990</v>
      </c>
      <c r="D43" s="666">
        <f t="shared" ref="D43:D47" si="5">+B43-C43</f>
        <v>-648795427</v>
      </c>
      <c r="E43" s="682">
        <f t="shared" si="4"/>
        <v>-1.0551440872995421</v>
      </c>
    </row>
    <row r="44" spans="1:7" ht="15.75" x14ac:dyDescent="0.25">
      <c r="A44" s="664" t="s">
        <v>28</v>
      </c>
      <c r="B44" s="667" t="e">
        <f>+'ESTADO SIT FINANCIERA 24-23'!#REF!</f>
        <v>#REF!</v>
      </c>
      <c r="C44" s="667">
        <v>0</v>
      </c>
      <c r="D44" s="666" t="e">
        <f t="shared" si="5"/>
        <v>#REF!</v>
      </c>
      <c r="E44" s="682">
        <v>0</v>
      </c>
    </row>
    <row r="45" spans="1:7" ht="15.75" x14ac:dyDescent="0.25">
      <c r="A45" s="664" t="s">
        <v>738</v>
      </c>
      <c r="B45" s="667">
        <f>+'ESTADO SIT FINANCIERA 24-23'!F14</f>
        <v>-2811002</v>
      </c>
      <c r="C45" s="667">
        <v>-43746491</v>
      </c>
      <c r="D45" s="666">
        <f t="shared" si="5"/>
        <v>40935489</v>
      </c>
      <c r="E45" s="682">
        <f t="shared" si="4"/>
        <v>-0.93574337196553659</v>
      </c>
    </row>
    <row r="46" spans="1:7" ht="15.75" x14ac:dyDescent="0.25">
      <c r="A46" s="664" t="s">
        <v>1067</v>
      </c>
      <c r="B46" s="667">
        <f>+'ESTADO SIT FINANCIERA 24-23'!F15</f>
        <v>97298572</v>
      </c>
      <c r="C46" s="667">
        <v>26395289</v>
      </c>
      <c r="D46" s="666">
        <f t="shared" si="5"/>
        <v>70903283</v>
      </c>
      <c r="E46" s="682">
        <v>0</v>
      </c>
    </row>
    <row r="47" spans="1:7" ht="15.75" x14ac:dyDescent="0.25">
      <c r="A47" s="664" t="s">
        <v>30</v>
      </c>
      <c r="B47" s="667">
        <f>+'ESTADO SIT FINANCIERA 24-23'!F17</f>
        <v>-308257358</v>
      </c>
      <c r="C47" s="667">
        <v>-35495536</v>
      </c>
      <c r="D47" s="678">
        <f t="shared" si="5"/>
        <v>-272761822</v>
      </c>
      <c r="E47" s="679">
        <v>0</v>
      </c>
    </row>
    <row r="48" spans="1:7" ht="15.75" x14ac:dyDescent="0.25">
      <c r="A48" s="717" t="s">
        <v>1144</v>
      </c>
      <c r="B48" s="718" t="e">
        <f>SUM(B40:B47)</f>
        <v>#REF!</v>
      </c>
      <c r="C48" s="718">
        <f>SUM(C40:C47)</f>
        <v>1180573374</v>
      </c>
      <c r="D48" s="719" t="e">
        <f>SUM(D40:D47)</f>
        <v>#REF!</v>
      </c>
      <c r="E48" s="720">
        <f>SUM(E40:E47)</f>
        <v>-2.3856184515373995</v>
      </c>
    </row>
    <row r="49" spans="1:5" ht="15.75" x14ac:dyDescent="0.25">
      <c r="A49" s="693"/>
      <c r="B49" s="675"/>
      <c r="C49" s="676"/>
      <c r="D49" s="676"/>
      <c r="E49" s="677"/>
    </row>
    <row r="50" spans="1:5" ht="15.75" x14ac:dyDescent="0.25">
      <c r="A50" s="704" t="s">
        <v>1145</v>
      </c>
      <c r="B50" s="702"/>
      <c r="C50" s="690"/>
      <c r="D50" s="666"/>
      <c r="E50" s="682"/>
    </row>
    <row r="51" spans="1:5" ht="15.75" x14ac:dyDescent="0.25">
      <c r="A51" s="664"/>
      <c r="B51" s="670"/>
      <c r="C51" s="666"/>
      <c r="D51" s="666"/>
      <c r="E51" s="682"/>
    </row>
    <row r="52" spans="1:5" ht="15.75" x14ac:dyDescent="0.25">
      <c r="A52" s="664" t="s">
        <v>36</v>
      </c>
      <c r="B52" s="665">
        <f>+'ESTADO SIT FINANCIERA 24-23'!F44</f>
        <v>435876290</v>
      </c>
      <c r="C52" s="666">
        <v>1546139013</v>
      </c>
      <c r="D52" s="666">
        <f t="shared" ref="D52:D60" si="6">+B52-C52</f>
        <v>-1110262723</v>
      </c>
      <c r="E52" s="682">
        <f>+C52/D52</f>
        <v>-1.3925884216145119</v>
      </c>
    </row>
    <row r="53" spans="1:5" ht="15.75" x14ac:dyDescent="0.25">
      <c r="A53" s="664" t="s">
        <v>1080</v>
      </c>
      <c r="B53" s="666">
        <f>(-'ESTADO SIT FINANCIERA 24-23'!F46)*-1</f>
        <v>103643698</v>
      </c>
      <c r="C53" s="666">
        <v>-60918517</v>
      </c>
      <c r="D53" s="666">
        <f t="shared" si="6"/>
        <v>164562215</v>
      </c>
      <c r="E53" s="682">
        <f t="shared" ref="E53:E60" si="7">+C53/D53</f>
        <v>-0.37018532474177018</v>
      </c>
    </row>
    <row r="54" spans="1:5" ht="15.75" x14ac:dyDescent="0.25">
      <c r="A54" s="664" t="s">
        <v>37</v>
      </c>
      <c r="B54" s="665" t="e">
        <f>+'ESTADO SIT FINANCIERA 24-23'!#REF!</f>
        <v>#REF!</v>
      </c>
      <c r="C54" s="666">
        <v>46007425.710000008</v>
      </c>
      <c r="D54" s="666" t="e">
        <f t="shared" si="6"/>
        <v>#REF!</v>
      </c>
      <c r="E54" s="682" t="e">
        <f t="shared" si="7"/>
        <v>#REF!</v>
      </c>
    </row>
    <row r="55" spans="1:5" ht="15.75" x14ac:dyDescent="0.25">
      <c r="A55" s="664" t="s">
        <v>38</v>
      </c>
      <c r="B55" s="666">
        <f>+'ESTADO SIT FINANCIERA 24-23'!F49</f>
        <v>106064146.66000009</v>
      </c>
      <c r="C55" s="666">
        <v>-36511475.75</v>
      </c>
      <c r="D55" s="666">
        <f t="shared" si="6"/>
        <v>142575622.41000009</v>
      </c>
      <c r="E55" s="682">
        <f t="shared" si="7"/>
        <v>-0.2560849823611861</v>
      </c>
    </row>
    <row r="56" spans="1:5" ht="15.75" x14ac:dyDescent="0.25">
      <c r="A56" s="664" t="str">
        <f>+'ESTADO SIT FINANCIERA 24-23'!B50</f>
        <v>RETENCIONES Y APORTE DE NOMINA</v>
      </c>
      <c r="B56" s="666">
        <f>+'ESTADO SIT FINANCIERA 24-23'!D50</f>
        <v>31720594</v>
      </c>
      <c r="C56" s="666">
        <v>12517099</v>
      </c>
      <c r="D56" s="666">
        <f t="shared" si="6"/>
        <v>19203495</v>
      </c>
      <c r="E56" s="682">
        <f t="shared" si="7"/>
        <v>0.65181358914093501</v>
      </c>
    </row>
    <row r="57" spans="1:5" ht="15.75" x14ac:dyDescent="0.25">
      <c r="A57" s="664" t="s">
        <v>1083</v>
      </c>
      <c r="B57" s="665">
        <f>+'ESTADO SIT FINANCIERA 24-23'!F52</f>
        <v>6731404</v>
      </c>
      <c r="C57" s="666">
        <v>1409157</v>
      </c>
      <c r="D57" s="666">
        <f>+B57-C57</f>
        <v>5322247</v>
      </c>
      <c r="E57" s="682">
        <f t="shared" si="7"/>
        <v>0.26476730598936876</v>
      </c>
    </row>
    <row r="58" spans="1:5" ht="15.75" x14ac:dyDescent="0.25">
      <c r="A58" s="664" t="s">
        <v>1082</v>
      </c>
      <c r="B58" s="666" t="e">
        <f>+'ESTADO SIT FINANCIERA 24-23'!#REF!</f>
        <v>#REF!</v>
      </c>
      <c r="C58" s="666">
        <v>-27184391</v>
      </c>
      <c r="D58" s="666" t="e">
        <f t="shared" si="6"/>
        <v>#REF!</v>
      </c>
      <c r="E58" s="682" t="e">
        <f t="shared" si="7"/>
        <v>#REF!</v>
      </c>
    </row>
    <row r="59" spans="1:5" ht="15.75" x14ac:dyDescent="0.25">
      <c r="A59" s="664" t="s">
        <v>1146</v>
      </c>
      <c r="B59" s="666">
        <f>+'ESTADO SIT FINANCIERA 24-23'!F51</f>
        <v>-42082749</v>
      </c>
      <c r="C59" s="666">
        <v>-47376468</v>
      </c>
      <c r="D59" s="666">
        <f t="shared" si="6"/>
        <v>5293719</v>
      </c>
      <c r="E59" s="682">
        <f t="shared" si="7"/>
        <v>-8.9495623020413433</v>
      </c>
    </row>
    <row r="60" spans="1:5" ht="15.75" x14ac:dyDescent="0.25">
      <c r="A60" s="664" t="s">
        <v>39</v>
      </c>
      <c r="B60" s="666">
        <f>+'ESTADO SIT FINANCIERA 24-23'!F54</f>
        <v>-4305200</v>
      </c>
      <c r="C60" s="666">
        <v>-4059672.75</v>
      </c>
      <c r="D60" s="666">
        <f t="shared" si="6"/>
        <v>-245527.25</v>
      </c>
      <c r="E60" s="682">
        <f t="shared" si="7"/>
        <v>16.534509916923682</v>
      </c>
    </row>
    <row r="61" spans="1:5" ht="15.75" x14ac:dyDescent="0.25">
      <c r="A61" s="664"/>
      <c r="B61" s="670"/>
      <c r="C61" s="678"/>
      <c r="D61" s="678"/>
      <c r="E61" s="679"/>
    </row>
    <row r="62" spans="1:5" ht="15.75" x14ac:dyDescent="0.25">
      <c r="A62" s="717" t="s">
        <v>1147</v>
      </c>
      <c r="B62" s="718" t="e">
        <f>SUM(B52:B61)</f>
        <v>#REF!</v>
      </c>
      <c r="C62" s="718">
        <f>SUM(C51:C61)</f>
        <v>1430022170.21</v>
      </c>
      <c r="D62" s="719" t="e">
        <f>SUM(D51:D61)</f>
        <v>#REF!</v>
      </c>
      <c r="E62" s="720" t="e">
        <f>SUM(E51:E61)</f>
        <v>#REF!</v>
      </c>
    </row>
    <row r="63" spans="1:5" ht="15.75" x14ac:dyDescent="0.25">
      <c r="A63" s="669"/>
      <c r="B63" s="699"/>
      <c r="C63" s="681"/>
      <c r="D63" s="681"/>
      <c r="E63" s="700"/>
    </row>
    <row r="64" spans="1:5" ht="16.5" thickBot="1" x14ac:dyDescent="0.3">
      <c r="A64" s="721" t="s">
        <v>1148</v>
      </c>
      <c r="B64" s="722" t="e">
        <f>+B48-B62</f>
        <v>#REF!</v>
      </c>
      <c r="C64" s="722">
        <f>+C48-C62</f>
        <v>-249448796.21000004</v>
      </c>
      <c r="D64" s="722" t="e">
        <f>+D48-D62</f>
        <v>#REF!</v>
      </c>
      <c r="E64" s="723" t="e">
        <f>+E48-E62</f>
        <v>#REF!</v>
      </c>
    </row>
    <row r="65" spans="1:5" ht="15.75" x14ac:dyDescent="0.25">
      <c r="A65" s="705"/>
      <c r="B65" s="706"/>
      <c r="C65" s="706"/>
      <c r="D65" s="706"/>
      <c r="E65" s="707"/>
    </row>
    <row r="66" spans="1:5" ht="15.75" x14ac:dyDescent="0.25">
      <c r="A66" s="705"/>
      <c r="B66" s="706"/>
      <c r="C66" s="706"/>
      <c r="D66" s="706"/>
      <c r="E66" s="707"/>
    </row>
    <row r="67" spans="1:5" ht="15.75" x14ac:dyDescent="0.25">
      <c r="A67" s="699"/>
      <c r="B67" s="699"/>
      <c r="C67" s="681"/>
      <c r="D67" s="699"/>
      <c r="E67" s="699"/>
    </row>
    <row r="68" spans="1:5" x14ac:dyDescent="0.2">
      <c r="A68" s="643" t="s">
        <v>1091</v>
      </c>
      <c r="B68" s="643" t="s">
        <v>1171</v>
      </c>
      <c r="C68" s="644"/>
      <c r="D68" s="644" t="s">
        <v>258</v>
      </c>
      <c r="E68" s="644"/>
    </row>
    <row r="69" spans="1:5" x14ac:dyDescent="0.2">
      <c r="A69" s="643" t="s">
        <v>1092</v>
      </c>
      <c r="B69" s="643" t="s">
        <v>1154</v>
      </c>
      <c r="C69" s="646"/>
      <c r="D69" s="647" t="s">
        <v>1093</v>
      </c>
      <c r="E69" s="647"/>
    </row>
    <row r="70" spans="1:5" x14ac:dyDescent="0.2">
      <c r="A70" s="643"/>
      <c r="B70" s="643"/>
      <c r="C70" s="643"/>
      <c r="D70" s="644"/>
      <c r="E70" s="644"/>
    </row>
  </sheetData>
  <mergeCells count="5">
    <mergeCell ref="A1:E1"/>
    <mergeCell ref="A2:E2"/>
    <mergeCell ref="A3:E3"/>
    <mergeCell ref="A4:E4"/>
    <mergeCell ref="A26:E26"/>
  </mergeCells>
  <pageMargins left="0.7" right="0.7" top="0.75" bottom="0.75" header="0.3" footer="0.3"/>
  <pageSetup scale="60"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tabColor rgb="FF00B0F0"/>
  </sheetPr>
  <dimension ref="A1:I111"/>
  <sheetViews>
    <sheetView workbookViewId="0">
      <selection activeCell="B14" sqref="B14"/>
    </sheetView>
  </sheetViews>
  <sheetFormatPr baseColWidth="10" defaultRowHeight="17.25" x14ac:dyDescent="0.3"/>
  <cols>
    <col min="1" max="1" width="4.109375" style="762" customWidth="1"/>
    <col min="2" max="2" width="37.21875" style="762" customWidth="1"/>
    <col min="3" max="3" width="15.109375" style="762" customWidth="1"/>
    <col min="4" max="4" width="19.88671875" style="762" customWidth="1"/>
    <col min="5" max="5" width="11.21875" style="762" customWidth="1"/>
    <col min="6" max="6" width="5.33203125" style="762" bestFit="1" customWidth="1"/>
    <col min="7" max="8" width="11.5546875" style="762"/>
    <col min="9" max="9" width="40.88671875" style="762" bestFit="1" customWidth="1"/>
    <col min="10" max="10" width="12.5546875" style="762" bestFit="1" customWidth="1"/>
    <col min="11" max="16384" width="11.5546875" style="762"/>
  </cols>
  <sheetData>
    <row r="1" spans="1:9" x14ac:dyDescent="0.3">
      <c r="A1" s="1321" t="s">
        <v>216</v>
      </c>
      <c r="B1" s="1321"/>
      <c r="C1" s="1321"/>
      <c r="D1" s="1321"/>
      <c r="E1" s="1321"/>
      <c r="F1" s="1321"/>
    </row>
    <row r="2" spans="1:9" x14ac:dyDescent="0.3">
      <c r="A2" s="1321" t="s">
        <v>1213</v>
      </c>
      <c r="B2" s="1321"/>
      <c r="C2" s="1321"/>
      <c r="D2" s="1321"/>
      <c r="E2" s="1321"/>
      <c r="F2" s="1321"/>
    </row>
    <row r="3" spans="1:9" ht="18" thickBot="1" x14ac:dyDescent="0.35">
      <c r="A3" s="1322" t="s">
        <v>1216</v>
      </c>
      <c r="B3" s="1322"/>
      <c r="C3" s="1322"/>
      <c r="D3" s="1322"/>
      <c r="E3" s="1322"/>
      <c r="F3" s="1322"/>
    </row>
    <row r="4" spans="1:9" ht="18" thickBot="1" x14ac:dyDescent="0.35">
      <c r="A4" s="1313" t="s">
        <v>1210</v>
      </c>
      <c r="B4" s="1314"/>
      <c r="C4" s="790" t="s">
        <v>1211</v>
      </c>
      <c r="D4" s="790" t="s">
        <v>1233</v>
      </c>
      <c r="E4" s="787" t="s">
        <v>1063</v>
      </c>
      <c r="F4" s="787" t="s">
        <v>1215</v>
      </c>
      <c r="I4" s="791">
        <v>42004</v>
      </c>
    </row>
    <row r="5" spans="1:9" ht="15" customHeight="1" x14ac:dyDescent="0.3">
      <c r="A5" s="785"/>
      <c r="B5" s="786"/>
      <c r="F5" s="770"/>
      <c r="I5" s="762" t="s">
        <v>1234</v>
      </c>
    </row>
    <row r="6" spans="1:9" ht="15" customHeight="1" thickBot="1" x14ac:dyDescent="0.35">
      <c r="A6" s="1315" t="s">
        <v>370</v>
      </c>
      <c r="B6" s="1316"/>
      <c r="C6" s="767">
        <f>+C8+C13+C18+C30+C36+C39</f>
        <v>20121425074.59</v>
      </c>
      <c r="D6" s="767">
        <v>18579608855.450001</v>
      </c>
      <c r="E6" s="768">
        <f>+C6-D6</f>
        <v>1541816219.1399994</v>
      </c>
      <c r="F6" s="771">
        <f>+E6/D6</f>
        <v>8.2984320667640679E-2</v>
      </c>
    </row>
    <row r="7" spans="1:9" ht="15" customHeight="1" x14ac:dyDescent="0.3">
      <c r="A7" s="772"/>
      <c r="B7" s="766"/>
      <c r="C7" s="769"/>
      <c r="D7" s="769"/>
      <c r="E7" s="769"/>
      <c r="F7" s="773"/>
      <c r="I7" s="762" t="s">
        <v>1235</v>
      </c>
    </row>
    <row r="8" spans="1:9" ht="18" thickBot="1" x14ac:dyDescent="0.35">
      <c r="A8" s="774">
        <v>1100</v>
      </c>
      <c r="B8" s="775" t="s">
        <v>1176</v>
      </c>
      <c r="C8" s="765">
        <v>1405560781.5899999</v>
      </c>
      <c r="D8" s="765">
        <v>2105602642</v>
      </c>
      <c r="E8" s="769">
        <f>+C8-D8</f>
        <v>-700041860.41000009</v>
      </c>
      <c r="F8" s="773">
        <f>+E8/D8</f>
        <v>-0.33246627186270411</v>
      </c>
    </row>
    <row r="9" spans="1:9" ht="18" thickTop="1" x14ac:dyDescent="0.3">
      <c r="A9" s="776">
        <v>1110</v>
      </c>
      <c r="B9" s="764" t="s">
        <v>1177</v>
      </c>
      <c r="C9" s="777">
        <v>616990479.59000003</v>
      </c>
      <c r="D9" s="777">
        <v>1503278972</v>
      </c>
      <c r="E9" s="769">
        <f>+C9-D9</f>
        <v>-886288492.40999997</v>
      </c>
      <c r="F9" s="773">
        <f>+E9/D9</f>
        <v>-0.58957020547613959</v>
      </c>
    </row>
    <row r="10" spans="1:9" x14ac:dyDescent="0.3">
      <c r="A10" s="776">
        <v>1115</v>
      </c>
      <c r="B10" s="764" t="s">
        <v>1178</v>
      </c>
      <c r="C10" s="777">
        <v>61240337</v>
      </c>
      <c r="D10" s="777">
        <v>60425464</v>
      </c>
      <c r="E10" s="769">
        <f>+C10-D10</f>
        <v>814873</v>
      </c>
      <c r="F10" s="773">
        <f>+E10/D10</f>
        <v>1.3485589452817441E-2</v>
      </c>
      <c r="I10" s="762" t="s">
        <v>1236</v>
      </c>
    </row>
    <row r="11" spans="1:9" x14ac:dyDescent="0.3">
      <c r="A11" s="776">
        <v>1120</v>
      </c>
      <c r="B11" s="764" t="s">
        <v>1179</v>
      </c>
      <c r="C11" s="777">
        <v>727329965</v>
      </c>
      <c r="D11" s="777">
        <v>541898206</v>
      </c>
      <c r="E11" s="769">
        <f>+C11-D11</f>
        <v>185431759</v>
      </c>
      <c r="F11" s="773">
        <f>+E11/D11</f>
        <v>0.3421892837932739</v>
      </c>
      <c r="I11" s="762" t="s">
        <v>1237</v>
      </c>
    </row>
    <row r="12" spans="1:9" x14ac:dyDescent="0.3">
      <c r="A12" s="776"/>
      <c r="B12" s="764"/>
      <c r="C12" s="777"/>
      <c r="D12" s="777"/>
      <c r="E12" s="769"/>
      <c r="F12" s="773"/>
    </row>
    <row r="13" spans="1:9" ht="18" thickBot="1" x14ac:dyDescent="0.35">
      <c r="A13" s="774">
        <v>1200</v>
      </c>
      <c r="B13" s="775" t="s">
        <v>28</v>
      </c>
      <c r="C13" s="765">
        <v>263556632</v>
      </c>
      <c r="D13" s="765">
        <v>262177722</v>
      </c>
      <c r="E13" s="768">
        <f t="shared" ref="E13:E49" si="0">+C13-D13</f>
        <v>1378910</v>
      </c>
      <c r="F13" s="771">
        <f t="shared" ref="F13:F49" si="1">+E13/D13</f>
        <v>5.2594476352952673E-3</v>
      </c>
    </row>
    <row r="14" spans="1:9" ht="18" thickTop="1" x14ac:dyDescent="0.3">
      <c r="A14" s="776">
        <v>1218</v>
      </c>
      <c r="B14" s="764" t="s">
        <v>1180</v>
      </c>
      <c r="C14" s="777">
        <v>231240186</v>
      </c>
      <c r="D14" s="777">
        <v>231240186</v>
      </c>
      <c r="E14" s="769">
        <f t="shared" si="0"/>
        <v>0</v>
      </c>
      <c r="F14" s="773">
        <f t="shared" si="1"/>
        <v>0</v>
      </c>
    </row>
    <row r="15" spans="1:9" x14ac:dyDescent="0.3">
      <c r="A15" s="776">
        <v>1220</v>
      </c>
      <c r="B15" s="764" t="s">
        <v>1181</v>
      </c>
      <c r="C15" s="777">
        <v>18715934</v>
      </c>
      <c r="D15" s="777">
        <v>18715934</v>
      </c>
      <c r="E15" s="769">
        <f t="shared" si="0"/>
        <v>0</v>
      </c>
      <c r="F15" s="773">
        <f t="shared" si="1"/>
        <v>0</v>
      </c>
    </row>
    <row r="16" spans="1:9" x14ac:dyDescent="0.3">
      <c r="A16" s="776">
        <v>1226</v>
      </c>
      <c r="B16" s="764" t="s">
        <v>1182</v>
      </c>
      <c r="C16" s="777">
        <v>13600512</v>
      </c>
      <c r="D16" s="777">
        <v>12221602</v>
      </c>
      <c r="E16" s="769">
        <f t="shared" si="0"/>
        <v>1378910</v>
      </c>
      <c r="F16" s="773">
        <f t="shared" si="1"/>
        <v>0.11282563447901511</v>
      </c>
    </row>
    <row r="17" spans="1:6" x14ac:dyDescent="0.3">
      <c r="A17" s="776"/>
      <c r="B17" s="764"/>
      <c r="C17" s="777"/>
      <c r="D17" s="777"/>
      <c r="E17" s="769"/>
      <c r="F17" s="773"/>
    </row>
    <row r="18" spans="1:6" ht="18" thickBot="1" x14ac:dyDescent="0.35">
      <c r="A18" s="774">
        <v>1400</v>
      </c>
      <c r="B18" s="775" t="s">
        <v>1183</v>
      </c>
      <c r="C18" s="765">
        <v>17339409085</v>
      </c>
      <c r="D18" s="765">
        <v>15300309569</v>
      </c>
      <c r="E18" s="768">
        <f t="shared" si="0"/>
        <v>2039099516</v>
      </c>
      <c r="F18" s="771">
        <f t="shared" si="1"/>
        <v>0.13327178164626324</v>
      </c>
    </row>
    <row r="19" spans="1:6" ht="18" thickTop="1" x14ac:dyDescent="0.3">
      <c r="A19" s="776">
        <v>1411</v>
      </c>
      <c r="B19" s="764" t="s">
        <v>1219</v>
      </c>
      <c r="C19" s="777">
        <v>380260256</v>
      </c>
      <c r="D19" s="777">
        <v>284811065</v>
      </c>
      <c r="E19" s="769">
        <f t="shared" si="0"/>
        <v>95449191</v>
      </c>
      <c r="F19" s="773">
        <f t="shared" si="1"/>
        <v>0.33513161084524579</v>
      </c>
    </row>
    <row r="20" spans="1:6" x14ac:dyDescent="0.3">
      <c r="A20" s="776">
        <v>1441</v>
      </c>
      <c r="B20" s="764" t="s">
        <v>1218</v>
      </c>
      <c r="C20" s="777">
        <v>16835244172</v>
      </c>
      <c r="D20" s="777">
        <v>14951603381</v>
      </c>
      <c r="E20" s="769">
        <f t="shared" si="0"/>
        <v>1883640791</v>
      </c>
      <c r="F20" s="773">
        <f t="shared" si="1"/>
        <v>0.12598252796042383</v>
      </c>
    </row>
    <row r="21" spans="1:6" x14ac:dyDescent="0.3">
      <c r="A21" s="776">
        <v>1442</v>
      </c>
      <c r="B21" s="764" t="s">
        <v>1220</v>
      </c>
      <c r="C21" s="777">
        <v>253977423</v>
      </c>
      <c r="D21" s="777">
        <v>134628426</v>
      </c>
      <c r="E21" s="769">
        <f t="shared" si="0"/>
        <v>119348997</v>
      </c>
      <c r="F21" s="773">
        <f t="shared" si="1"/>
        <v>0.88650666539026457</v>
      </c>
    </row>
    <row r="22" spans="1:6" x14ac:dyDescent="0.3">
      <c r="A22" s="776">
        <v>1443</v>
      </c>
      <c r="B22" s="764" t="s">
        <v>51</v>
      </c>
      <c r="C22" s="777">
        <v>26800645</v>
      </c>
      <c r="D22" s="777">
        <v>19166213</v>
      </c>
      <c r="E22" s="769">
        <f t="shared" si="0"/>
        <v>7634432</v>
      </c>
      <c r="F22" s="773">
        <f t="shared" si="1"/>
        <v>0.39832761954591656</v>
      </c>
    </row>
    <row r="23" spans="1:6" x14ac:dyDescent="0.3">
      <c r="A23" s="776">
        <v>1445</v>
      </c>
      <c r="B23" s="764" t="s">
        <v>1184</v>
      </c>
      <c r="C23" s="777">
        <v>-99130971</v>
      </c>
      <c r="D23" s="777">
        <v>-69280622</v>
      </c>
      <c r="E23" s="769">
        <f t="shared" si="0"/>
        <v>-29850349</v>
      </c>
      <c r="F23" s="773">
        <f t="shared" si="1"/>
        <v>0.43086144636518997</v>
      </c>
    </row>
    <row r="24" spans="1:6" x14ac:dyDescent="0.3">
      <c r="A24" s="776">
        <v>1446</v>
      </c>
      <c r="B24" s="764" t="s">
        <v>1185</v>
      </c>
      <c r="C24" s="777">
        <v>-14627836</v>
      </c>
      <c r="D24" s="777">
        <v>-10311207</v>
      </c>
      <c r="E24" s="769">
        <f t="shared" si="0"/>
        <v>-4316629</v>
      </c>
      <c r="F24" s="773">
        <f t="shared" si="1"/>
        <v>0.4186346952398492</v>
      </c>
    </row>
    <row r="25" spans="1:6" x14ac:dyDescent="0.3">
      <c r="A25" s="776">
        <v>1468</v>
      </c>
      <c r="B25" s="764" t="s">
        <v>1186</v>
      </c>
      <c r="C25" s="777">
        <v>-174694818</v>
      </c>
      <c r="D25" s="777">
        <v>-153710428</v>
      </c>
      <c r="E25" s="769">
        <f t="shared" si="0"/>
        <v>-20984390</v>
      </c>
      <c r="F25" s="773">
        <f t="shared" si="1"/>
        <v>0.13651897449664249</v>
      </c>
    </row>
    <row r="26" spans="1:6" x14ac:dyDescent="0.3">
      <c r="A26" s="776">
        <v>1469</v>
      </c>
      <c r="B26" s="764" t="s">
        <v>1187</v>
      </c>
      <c r="C26" s="777">
        <v>124495751</v>
      </c>
      <c r="D26" s="777">
        <v>130491813</v>
      </c>
      <c r="E26" s="769">
        <f t="shared" si="0"/>
        <v>-5996062</v>
      </c>
      <c r="F26" s="773">
        <f t="shared" si="1"/>
        <v>-4.5949717933645384E-2</v>
      </c>
    </row>
    <row r="27" spans="1:6" x14ac:dyDescent="0.3">
      <c r="A27" s="776">
        <v>1470</v>
      </c>
      <c r="B27" s="764" t="s">
        <v>1188</v>
      </c>
      <c r="C27" s="777">
        <v>875594</v>
      </c>
      <c r="D27" s="777">
        <v>870224</v>
      </c>
      <c r="E27" s="769">
        <f t="shared" si="0"/>
        <v>5370</v>
      </c>
      <c r="F27" s="773">
        <f t="shared" si="1"/>
        <v>6.1708249829928842E-3</v>
      </c>
    </row>
    <row r="28" spans="1:6" x14ac:dyDescent="0.3">
      <c r="A28" s="776">
        <v>1473</v>
      </c>
      <c r="B28" s="764" t="s">
        <v>731</v>
      </c>
      <c r="C28" s="777">
        <v>6208869</v>
      </c>
      <c r="D28" s="777">
        <v>12040704</v>
      </c>
      <c r="E28" s="769">
        <f t="shared" si="0"/>
        <v>-5831835</v>
      </c>
      <c r="F28" s="773">
        <f t="shared" si="1"/>
        <v>-0.48434335733193007</v>
      </c>
    </row>
    <row r="29" spans="1:6" x14ac:dyDescent="0.3">
      <c r="A29" s="776"/>
      <c r="B29" s="764"/>
      <c r="C29" s="777"/>
      <c r="D29" s="777"/>
      <c r="E29" s="769"/>
      <c r="F29" s="773"/>
    </row>
    <row r="30" spans="1:6" ht="18" thickBot="1" x14ac:dyDescent="0.35">
      <c r="A30" s="774">
        <v>1600</v>
      </c>
      <c r="B30" s="775" t="s">
        <v>1189</v>
      </c>
      <c r="C30" s="765">
        <v>604815224</v>
      </c>
      <c r="D30" s="765">
        <v>457785587</v>
      </c>
      <c r="E30" s="768">
        <f t="shared" si="0"/>
        <v>147029637</v>
      </c>
      <c r="F30" s="771">
        <f t="shared" si="1"/>
        <v>0.32117576694261457</v>
      </c>
    </row>
    <row r="31" spans="1:6" ht="18" thickTop="1" x14ac:dyDescent="0.3">
      <c r="A31" s="776">
        <v>1630</v>
      </c>
      <c r="B31" s="764" t="s">
        <v>1190</v>
      </c>
      <c r="C31" s="777">
        <v>23031422</v>
      </c>
      <c r="D31" s="777">
        <v>1516939</v>
      </c>
      <c r="E31" s="769">
        <f t="shared" si="0"/>
        <v>21514483</v>
      </c>
      <c r="F31" s="773">
        <f t="shared" si="1"/>
        <v>14.1828267319912</v>
      </c>
    </row>
    <row r="32" spans="1:6" x14ac:dyDescent="0.3">
      <c r="A32" s="776">
        <v>1650</v>
      </c>
      <c r="B32" s="764" t="s">
        <v>744</v>
      </c>
      <c r="C32" s="777">
        <v>531880353</v>
      </c>
      <c r="D32" s="777">
        <v>442554842</v>
      </c>
      <c r="E32" s="769">
        <f t="shared" si="0"/>
        <v>89325511</v>
      </c>
      <c r="F32" s="773">
        <f t="shared" si="1"/>
        <v>0.20184054612603244</v>
      </c>
    </row>
    <row r="33" spans="1:6" x14ac:dyDescent="0.3">
      <c r="A33" s="776">
        <v>1655</v>
      </c>
      <c r="B33" s="764" t="s">
        <v>35</v>
      </c>
      <c r="C33" s="777">
        <v>0</v>
      </c>
      <c r="D33" s="777">
        <v>4137499</v>
      </c>
      <c r="E33" s="769">
        <f t="shared" si="0"/>
        <v>-4137499</v>
      </c>
      <c r="F33" s="773">
        <f t="shared" si="1"/>
        <v>-1</v>
      </c>
    </row>
    <row r="34" spans="1:6" x14ac:dyDescent="0.3">
      <c r="A34" s="776">
        <v>1660</v>
      </c>
      <c r="B34" s="764" t="s">
        <v>30</v>
      </c>
      <c r="C34" s="777">
        <v>49903449</v>
      </c>
      <c r="D34" s="777">
        <v>9576307</v>
      </c>
      <c r="E34" s="769">
        <f t="shared" si="0"/>
        <v>40327142</v>
      </c>
      <c r="F34" s="773">
        <f t="shared" si="1"/>
        <v>4.2111371325083873</v>
      </c>
    </row>
    <row r="35" spans="1:6" x14ac:dyDescent="0.3">
      <c r="A35" s="776"/>
      <c r="B35" s="764"/>
      <c r="C35" s="777"/>
      <c r="D35" s="777"/>
      <c r="E35" s="769"/>
      <c r="F35" s="773"/>
    </row>
    <row r="36" spans="1:6" ht="18" thickBot="1" x14ac:dyDescent="0.35">
      <c r="A36" s="774">
        <v>1700</v>
      </c>
      <c r="B36" s="775" t="s">
        <v>1191</v>
      </c>
      <c r="C36" s="765">
        <v>429540234</v>
      </c>
      <c r="D36" s="765">
        <v>351668817.44999999</v>
      </c>
      <c r="E36" s="768">
        <f t="shared" si="0"/>
        <v>77871416.550000012</v>
      </c>
      <c r="F36" s="771">
        <f t="shared" si="1"/>
        <v>0.22143395344135597</v>
      </c>
    </row>
    <row r="37" spans="1:6" ht="18" thickTop="1" x14ac:dyDescent="0.3">
      <c r="A37" s="776">
        <v>1705</v>
      </c>
      <c r="B37" s="764" t="s">
        <v>1192</v>
      </c>
      <c r="C37" s="777">
        <f>+C36</f>
        <v>429540234</v>
      </c>
      <c r="D37" s="777">
        <v>351668817.44999999</v>
      </c>
      <c r="E37" s="769">
        <f t="shared" si="0"/>
        <v>77871416.550000012</v>
      </c>
      <c r="F37" s="773">
        <f t="shared" si="1"/>
        <v>0.22143395344135597</v>
      </c>
    </row>
    <row r="38" spans="1:6" x14ac:dyDescent="0.3">
      <c r="A38" s="776"/>
      <c r="B38" s="764"/>
      <c r="C38" s="777"/>
      <c r="D38" s="777"/>
      <c r="E38" s="769"/>
      <c r="F38" s="773"/>
    </row>
    <row r="39" spans="1:6" ht="18" thickBot="1" x14ac:dyDescent="0.35">
      <c r="A39" s="774">
        <v>1900</v>
      </c>
      <c r="B39" s="775" t="s">
        <v>119</v>
      </c>
      <c r="C39" s="765">
        <v>78543118</v>
      </c>
      <c r="D39" s="765">
        <v>102064518</v>
      </c>
      <c r="E39" s="768">
        <f t="shared" si="0"/>
        <v>-23521400</v>
      </c>
      <c r="F39" s="771">
        <f t="shared" si="1"/>
        <v>-0.23045619046572091</v>
      </c>
    </row>
    <row r="40" spans="1:6" ht="18" thickTop="1" x14ac:dyDescent="0.3">
      <c r="A40" s="776">
        <v>1910</v>
      </c>
      <c r="B40" s="764" t="s">
        <v>1193</v>
      </c>
      <c r="C40" s="777">
        <v>78543118</v>
      </c>
      <c r="D40" s="777">
        <v>102064518</v>
      </c>
      <c r="E40" s="769">
        <f t="shared" si="0"/>
        <v>-23521400</v>
      </c>
      <c r="F40" s="773">
        <f t="shared" si="1"/>
        <v>-0.23045619046572091</v>
      </c>
    </row>
    <row r="41" spans="1:6" x14ac:dyDescent="0.3">
      <c r="A41" s="776"/>
      <c r="B41" s="764"/>
      <c r="C41" s="777"/>
      <c r="D41" s="777"/>
      <c r="E41" s="769"/>
      <c r="F41" s="773"/>
    </row>
    <row r="42" spans="1:6" x14ac:dyDescent="0.3">
      <c r="A42" s="776"/>
      <c r="B42" s="764"/>
      <c r="C42" s="777"/>
      <c r="D42" s="777"/>
      <c r="E42" s="769"/>
      <c r="F42" s="773"/>
    </row>
    <row r="43" spans="1:6" x14ac:dyDescent="0.3">
      <c r="A43" s="776"/>
      <c r="B43" s="764"/>
      <c r="C43" s="777"/>
      <c r="D43" s="777"/>
      <c r="E43" s="769"/>
      <c r="F43" s="773"/>
    </row>
    <row r="44" spans="1:6" ht="18" thickBot="1" x14ac:dyDescent="0.35">
      <c r="A44" s="1317" t="s">
        <v>395</v>
      </c>
      <c r="B44" s="1318"/>
      <c r="C44" s="767">
        <f>+C46+C54+C57+C68+C75+C80</f>
        <v>16748004876.49</v>
      </c>
      <c r="D44" s="767">
        <v>15340734701.209999</v>
      </c>
      <c r="E44" s="768">
        <f t="shared" si="0"/>
        <v>1407270175.2800007</v>
      </c>
      <c r="F44" s="771">
        <f t="shared" si="1"/>
        <v>9.1734209781295706E-2</v>
      </c>
    </row>
    <row r="45" spans="1:6" x14ac:dyDescent="0.3">
      <c r="A45" s="772"/>
      <c r="B45" s="766"/>
      <c r="C45" s="777"/>
      <c r="D45" s="777"/>
      <c r="E45" s="769"/>
      <c r="F45" s="773"/>
    </row>
    <row r="46" spans="1:6" ht="18" thickBot="1" x14ac:dyDescent="0.35">
      <c r="A46" s="774">
        <v>2100</v>
      </c>
      <c r="B46" s="775" t="s">
        <v>177</v>
      </c>
      <c r="C46" s="765">
        <v>14334686535.24</v>
      </c>
      <c r="D46" s="765">
        <v>12946440523.709999</v>
      </c>
      <c r="E46" s="768">
        <f t="shared" si="0"/>
        <v>1388246011.5300007</v>
      </c>
      <c r="F46" s="771">
        <f t="shared" si="1"/>
        <v>0.10722993775683587</v>
      </c>
    </row>
    <row r="47" spans="1:6" ht="18" thickTop="1" x14ac:dyDescent="0.3">
      <c r="A47" s="776">
        <v>2110</v>
      </c>
      <c r="B47" s="764" t="s">
        <v>799</v>
      </c>
      <c r="C47" s="777">
        <v>5493953262.2399998</v>
      </c>
      <c r="D47" s="777">
        <v>5030719813.71</v>
      </c>
      <c r="E47" s="769">
        <f t="shared" si="0"/>
        <v>463233448.52999973</v>
      </c>
      <c r="F47" s="773">
        <f t="shared" si="1"/>
        <v>9.2080947793508588E-2</v>
      </c>
    </row>
    <row r="48" spans="1:6" x14ac:dyDescent="0.3">
      <c r="A48" s="776">
        <v>2125</v>
      </c>
      <c r="B48" s="764" t="s">
        <v>1194</v>
      </c>
      <c r="C48" s="777">
        <v>257432506</v>
      </c>
      <c r="D48" s="777">
        <v>243777981</v>
      </c>
      <c r="E48" s="769">
        <f t="shared" si="0"/>
        <v>13654525</v>
      </c>
      <c r="F48" s="773">
        <f t="shared" si="1"/>
        <v>5.6012134254241772E-2</v>
      </c>
    </row>
    <row r="49" spans="1:6" x14ac:dyDescent="0.3">
      <c r="A49" s="776">
        <v>2130</v>
      </c>
      <c r="B49" s="764" t="s">
        <v>807</v>
      </c>
      <c r="C49" s="777">
        <v>8583300767</v>
      </c>
      <c r="D49" s="777">
        <v>7671942729</v>
      </c>
      <c r="E49" s="769">
        <f t="shared" si="0"/>
        <v>911358038</v>
      </c>
      <c r="F49" s="773">
        <f t="shared" si="1"/>
        <v>0.11879103770614187</v>
      </c>
    </row>
    <row r="50" spans="1:6" x14ac:dyDescent="0.3">
      <c r="A50" s="776"/>
      <c r="B50" s="764"/>
      <c r="C50" s="777"/>
      <c r="D50" s="777"/>
      <c r="E50" s="769"/>
      <c r="F50" s="773"/>
    </row>
    <row r="51" spans="1:6" x14ac:dyDescent="0.3">
      <c r="A51" s="776"/>
      <c r="B51" s="764"/>
      <c r="C51" s="777"/>
      <c r="D51" s="777"/>
      <c r="E51" s="769"/>
      <c r="F51" s="773"/>
    </row>
    <row r="52" spans="1:6" x14ac:dyDescent="0.3">
      <c r="A52" s="776"/>
      <c r="B52" s="764"/>
      <c r="C52" s="777"/>
      <c r="D52" s="777"/>
      <c r="E52" s="769"/>
      <c r="F52" s="773"/>
    </row>
    <row r="53" spans="1:6" x14ac:dyDescent="0.3">
      <c r="A53" s="776"/>
      <c r="B53" s="764"/>
      <c r="C53" s="777"/>
      <c r="D53" s="777"/>
      <c r="E53" s="769"/>
      <c r="F53" s="773"/>
    </row>
    <row r="54" spans="1:6" ht="18" thickBot="1" x14ac:dyDescent="0.35">
      <c r="A54" s="774">
        <v>2300</v>
      </c>
      <c r="B54" s="775" t="s">
        <v>1195</v>
      </c>
      <c r="C54" s="765">
        <v>1148916173</v>
      </c>
      <c r="D54" s="765">
        <v>1151331280</v>
      </c>
      <c r="E54" s="768">
        <f t="shared" ref="E54:E99" si="2">+C54-D54</f>
        <v>-2415107</v>
      </c>
      <c r="F54" s="778">
        <f t="shared" ref="F54:F99" si="3">+E54/D54</f>
        <v>-2.0976647138432648E-3</v>
      </c>
    </row>
    <row r="55" spans="1:6" ht="18" thickTop="1" x14ac:dyDescent="0.3">
      <c r="A55" s="776">
        <v>2308</v>
      </c>
      <c r="B55" s="764" t="s">
        <v>1196</v>
      </c>
      <c r="C55" s="777">
        <v>1148916173</v>
      </c>
      <c r="D55" s="777">
        <v>1151331280</v>
      </c>
      <c r="E55" s="769">
        <f t="shared" si="2"/>
        <v>-2415107</v>
      </c>
      <c r="F55" s="779">
        <f t="shared" si="3"/>
        <v>-2.0976647138432648E-3</v>
      </c>
    </row>
    <row r="56" spans="1:6" x14ac:dyDescent="0.3">
      <c r="A56" s="776"/>
      <c r="B56" s="764"/>
      <c r="C56" s="777"/>
      <c r="D56" s="777"/>
      <c r="E56" s="769"/>
      <c r="F56" s="773"/>
    </row>
    <row r="57" spans="1:6" ht="18" thickBot="1" x14ac:dyDescent="0.35">
      <c r="A57" s="774">
        <v>2400</v>
      </c>
      <c r="B57" s="775" t="s">
        <v>1197</v>
      </c>
      <c r="C57" s="765">
        <f>SUM(C58:C66)</f>
        <v>1069037893</v>
      </c>
      <c r="D57" s="765">
        <v>1093546818</v>
      </c>
      <c r="E57" s="768">
        <f t="shared" si="2"/>
        <v>-24508925</v>
      </c>
      <c r="F57" s="771">
        <f t="shared" si="3"/>
        <v>-2.2412323456644175E-2</v>
      </c>
    </row>
    <row r="58" spans="1:6" ht="18" thickTop="1" x14ac:dyDescent="0.3">
      <c r="A58" s="776">
        <v>2410</v>
      </c>
      <c r="B58" s="764" t="s">
        <v>178</v>
      </c>
      <c r="C58" s="777">
        <v>47695921</v>
      </c>
      <c r="D58" s="777">
        <v>26206979</v>
      </c>
      <c r="E58" s="769">
        <f t="shared" si="2"/>
        <v>21488942</v>
      </c>
      <c r="F58" s="773">
        <f t="shared" si="3"/>
        <v>0.81997020717267721</v>
      </c>
    </row>
    <row r="59" spans="1:6" x14ac:dyDescent="0.3">
      <c r="A59" s="776">
        <v>2420</v>
      </c>
      <c r="B59" s="764" t="s">
        <v>173</v>
      </c>
      <c r="C59" s="777">
        <v>45053287</v>
      </c>
      <c r="D59" s="777">
        <v>159850726.40000001</v>
      </c>
      <c r="E59" s="769">
        <f t="shared" si="2"/>
        <v>-114797439.40000001</v>
      </c>
      <c r="F59" s="773">
        <f t="shared" si="3"/>
        <v>-0.71815400521070138</v>
      </c>
    </row>
    <row r="60" spans="1:6" x14ac:dyDescent="0.3">
      <c r="A60" s="776">
        <v>2425</v>
      </c>
      <c r="B60" s="764" t="s">
        <v>85</v>
      </c>
      <c r="C60" s="777">
        <v>717131626</v>
      </c>
      <c r="D60" s="777">
        <v>718718493</v>
      </c>
      <c r="E60" s="769">
        <f t="shared" si="2"/>
        <v>-1586867</v>
      </c>
      <c r="F60" s="773">
        <f t="shared" si="3"/>
        <v>-2.2079117421568836E-3</v>
      </c>
    </row>
    <row r="61" spans="1:6" x14ac:dyDescent="0.3">
      <c r="A61" s="776">
        <v>2430</v>
      </c>
      <c r="B61" s="764" t="s">
        <v>814</v>
      </c>
      <c r="C61" s="777">
        <v>18370</v>
      </c>
      <c r="D61" s="777">
        <v>27982</v>
      </c>
      <c r="E61" s="769">
        <f t="shared" si="2"/>
        <v>-9612</v>
      </c>
      <c r="F61" s="773">
        <f t="shared" si="3"/>
        <v>-0.34350653991851904</v>
      </c>
    </row>
    <row r="62" spans="1:6" x14ac:dyDescent="0.3">
      <c r="A62" s="776">
        <v>2435</v>
      </c>
      <c r="B62" s="764" t="s">
        <v>179</v>
      </c>
      <c r="C62" s="777">
        <v>47806999</v>
      </c>
      <c r="D62" s="777">
        <v>7124114.5999999996</v>
      </c>
      <c r="E62" s="769">
        <f t="shared" si="2"/>
        <v>40682884.399999999</v>
      </c>
      <c r="F62" s="773">
        <f t="shared" si="3"/>
        <v>5.7105881480345646</v>
      </c>
    </row>
    <row r="63" spans="1:6" x14ac:dyDescent="0.3">
      <c r="A63" s="776">
        <v>2445</v>
      </c>
      <c r="B63" s="764" t="s">
        <v>1198</v>
      </c>
      <c r="C63" s="777">
        <v>68953979</v>
      </c>
      <c r="D63" s="777">
        <v>90640960</v>
      </c>
      <c r="E63" s="769">
        <f t="shared" si="2"/>
        <v>-21686981</v>
      </c>
      <c r="F63" s="773">
        <f t="shared" si="3"/>
        <v>-0.23926248133294264</v>
      </c>
    </row>
    <row r="64" spans="1:6" x14ac:dyDescent="0.3">
      <c r="A64" s="776">
        <v>2450</v>
      </c>
      <c r="B64" s="764" t="s">
        <v>1199</v>
      </c>
      <c r="C64" s="777">
        <v>10923791</v>
      </c>
      <c r="D64" s="777">
        <v>12517099</v>
      </c>
      <c r="E64" s="769">
        <f t="shared" si="2"/>
        <v>-1593308</v>
      </c>
      <c r="F64" s="773">
        <f t="shared" si="3"/>
        <v>-0.12729051675631869</v>
      </c>
    </row>
    <row r="65" spans="1:6" x14ac:dyDescent="0.3">
      <c r="A65" s="776">
        <v>2460</v>
      </c>
      <c r="B65" s="764" t="s">
        <v>1200</v>
      </c>
      <c r="C65" s="777">
        <v>44411152</v>
      </c>
      <c r="D65" s="777">
        <v>19745812</v>
      </c>
      <c r="E65" s="769">
        <f t="shared" si="2"/>
        <v>24665340</v>
      </c>
      <c r="F65" s="773">
        <f t="shared" si="3"/>
        <v>1.2491428562168019</v>
      </c>
    </row>
    <row r="66" spans="1:6" x14ac:dyDescent="0.3">
      <c r="A66" s="776">
        <v>2465</v>
      </c>
      <c r="B66" s="764" t="s">
        <v>181</v>
      </c>
      <c r="C66" s="777">
        <v>87042768</v>
      </c>
      <c r="D66" s="777">
        <v>58714652</v>
      </c>
      <c r="E66" s="769">
        <f t="shared" si="2"/>
        <v>28328116</v>
      </c>
      <c r="F66" s="773">
        <f t="shared" si="3"/>
        <v>0.48247098526616489</v>
      </c>
    </row>
    <row r="67" spans="1:6" x14ac:dyDescent="0.3">
      <c r="A67" s="776"/>
      <c r="B67" s="764"/>
      <c r="C67" s="777"/>
      <c r="D67" s="777"/>
      <c r="E67" s="769"/>
      <c r="F67" s="773"/>
    </row>
    <row r="68" spans="1:6" ht="18" thickBot="1" x14ac:dyDescent="0.35">
      <c r="A68" s="774">
        <v>2600</v>
      </c>
      <c r="B68" s="775" t="s">
        <v>1201</v>
      </c>
      <c r="C68" s="765">
        <v>120574731</v>
      </c>
      <c r="D68" s="765">
        <v>98242671</v>
      </c>
      <c r="E68" s="768">
        <f t="shared" si="2"/>
        <v>22332060</v>
      </c>
      <c r="F68" s="771">
        <f t="shared" si="3"/>
        <v>0.22731527728923412</v>
      </c>
    </row>
    <row r="69" spans="1:6" ht="18" thickTop="1" x14ac:dyDescent="0.3">
      <c r="A69" s="776">
        <v>2610</v>
      </c>
      <c r="B69" s="764" t="s">
        <v>273</v>
      </c>
      <c r="C69" s="777">
        <v>52302335</v>
      </c>
      <c r="D69" s="777">
        <v>28066980</v>
      </c>
      <c r="E69" s="769">
        <f t="shared" si="2"/>
        <v>24235355</v>
      </c>
      <c r="F69" s="773">
        <f t="shared" si="3"/>
        <v>0.86348281860036247</v>
      </c>
    </row>
    <row r="70" spans="1:6" x14ac:dyDescent="0.3">
      <c r="A70" s="776">
        <v>2625</v>
      </c>
      <c r="B70" s="764" t="s">
        <v>274</v>
      </c>
      <c r="C70" s="777">
        <v>6259261</v>
      </c>
      <c r="D70" s="777">
        <v>24910380</v>
      </c>
      <c r="E70" s="769">
        <f t="shared" si="2"/>
        <v>-18651119</v>
      </c>
      <c r="F70" s="773">
        <f t="shared" si="3"/>
        <v>-0.74872880301304112</v>
      </c>
    </row>
    <row r="71" spans="1:6" x14ac:dyDescent="0.3">
      <c r="A71" s="776">
        <v>2648</v>
      </c>
      <c r="B71" s="764" t="s">
        <v>182</v>
      </c>
      <c r="C71" s="777">
        <v>37046781</v>
      </c>
      <c r="D71" s="777">
        <v>7890521</v>
      </c>
      <c r="E71" s="769">
        <f t="shared" si="2"/>
        <v>29156260</v>
      </c>
      <c r="F71" s="773">
        <f t="shared" si="3"/>
        <v>3.6950994744200036</v>
      </c>
    </row>
    <row r="72" spans="1:6" x14ac:dyDescent="0.3">
      <c r="A72" s="776">
        <v>2652</v>
      </c>
      <c r="B72" s="764" t="s">
        <v>1212</v>
      </c>
      <c r="C72" s="777">
        <v>24966354</v>
      </c>
      <c r="D72" s="777">
        <v>0</v>
      </c>
      <c r="E72" s="769">
        <f t="shared" si="2"/>
        <v>24966354</v>
      </c>
      <c r="F72" s="773">
        <v>0</v>
      </c>
    </row>
    <row r="73" spans="1:6" x14ac:dyDescent="0.3">
      <c r="A73" s="776">
        <v>2695</v>
      </c>
      <c r="B73" s="764" t="s">
        <v>1202</v>
      </c>
      <c r="C73" s="777">
        <v>0</v>
      </c>
      <c r="D73" s="777">
        <v>37374790</v>
      </c>
      <c r="E73" s="769">
        <f t="shared" si="2"/>
        <v>-37374790</v>
      </c>
      <c r="F73" s="773">
        <f t="shared" si="3"/>
        <v>-1</v>
      </c>
    </row>
    <row r="74" spans="1:6" x14ac:dyDescent="0.3">
      <c r="A74" s="776"/>
      <c r="B74" s="764"/>
      <c r="C74" s="777"/>
      <c r="D74" s="777"/>
      <c r="E74" s="769"/>
      <c r="F74" s="773"/>
    </row>
    <row r="75" spans="1:6" ht="18" thickBot="1" x14ac:dyDescent="0.35">
      <c r="A75" s="774">
        <v>2700</v>
      </c>
      <c r="B75" s="775" t="s">
        <v>40</v>
      </c>
      <c r="C75" s="765">
        <v>56003342</v>
      </c>
      <c r="D75" s="765">
        <v>29502721.25</v>
      </c>
      <c r="E75" s="768">
        <f t="shared" si="2"/>
        <v>26500620.75</v>
      </c>
      <c r="F75" s="771">
        <f t="shared" si="3"/>
        <v>0.89824326798328813</v>
      </c>
    </row>
    <row r="76" spans="1:6" ht="18" thickTop="1" x14ac:dyDescent="0.3">
      <c r="A76" s="776">
        <v>2710</v>
      </c>
      <c r="B76" s="764" t="s">
        <v>1217</v>
      </c>
      <c r="C76" s="777">
        <v>29912439</v>
      </c>
      <c r="D76" s="777">
        <v>17610357</v>
      </c>
      <c r="E76" s="769">
        <f t="shared" si="2"/>
        <v>12302082</v>
      </c>
      <c r="F76" s="773">
        <f t="shared" si="3"/>
        <v>0.69857084668982006</v>
      </c>
    </row>
    <row r="77" spans="1:6" x14ac:dyDescent="0.3">
      <c r="A77" s="776">
        <v>2720</v>
      </c>
      <c r="B77" s="764" t="s">
        <v>852</v>
      </c>
      <c r="C77" s="777">
        <v>130479</v>
      </c>
      <c r="D77" s="777">
        <v>495397</v>
      </c>
      <c r="E77" s="769">
        <f t="shared" si="2"/>
        <v>-364918</v>
      </c>
      <c r="F77" s="773">
        <f t="shared" si="3"/>
        <v>-0.73661729885324301</v>
      </c>
    </row>
    <row r="78" spans="1:6" x14ac:dyDescent="0.3">
      <c r="A78" s="776">
        <v>2725</v>
      </c>
      <c r="B78" s="764" t="s">
        <v>854</v>
      </c>
      <c r="C78" s="777">
        <v>25960424</v>
      </c>
      <c r="D78" s="777">
        <v>11396967.25</v>
      </c>
      <c r="E78" s="769">
        <f t="shared" si="2"/>
        <v>14563456.75</v>
      </c>
      <c r="F78" s="773">
        <f t="shared" si="3"/>
        <v>1.2778361497880062</v>
      </c>
    </row>
    <row r="79" spans="1:6" x14ac:dyDescent="0.3">
      <c r="A79" s="776"/>
      <c r="B79" s="764"/>
      <c r="C79" s="777"/>
      <c r="D79" s="777"/>
      <c r="E79" s="769"/>
      <c r="F79" s="773"/>
    </row>
    <row r="80" spans="1:6" ht="18" thickBot="1" x14ac:dyDescent="0.35">
      <c r="A80" s="788">
        <v>2800</v>
      </c>
      <c r="B80" s="789" t="s">
        <v>202</v>
      </c>
      <c r="C80" s="765">
        <v>18786202.25</v>
      </c>
      <c r="D80" s="765">
        <v>21670687.25</v>
      </c>
      <c r="E80" s="769">
        <f t="shared" si="2"/>
        <v>-2884485</v>
      </c>
      <c r="F80" s="773">
        <f t="shared" si="3"/>
        <v>-0.13310537717256751</v>
      </c>
    </row>
    <row r="81" spans="1:6" ht="18" thickTop="1" x14ac:dyDescent="0.3">
      <c r="A81" s="776">
        <v>2825</v>
      </c>
      <c r="B81" s="764" t="s">
        <v>1203</v>
      </c>
      <c r="C81" s="777">
        <v>18786202.25</v>
      </c>
      <c r="D81" s="777">
        <v>21670687.25</v>
      </c>
      <c r="E81" s="769">
        <f t="shared" si="2"/>
        <v>-2884485</v>
      </c>
      <c r="F81" s="773">
        <f t="shared" si="3"/>
        <v>-0.13310537717256751</v>
      </c>
    </row>
    <row r="82" spans="1:6" x14ac:dyDescent="0.3">
      <c r="A82" s="776"/>
      <c r="B82" s="764"/>
      <c r="C82" s="777"/>
      <c r="D82" s="777"/>
      <c r="E82" s="769"/>
      <c r="F82" s="773"/>
    </row>
    <row r="83" spans="1:6" x14ac:dyDescent="0.3">
      <c r="A83" s="776"/>
      <c r="B83" s="764"/>
      <c r="C83" s="777"/>
      <c r="D83" s="777"/>
      <c r="E83" s="769"/>
      <c r="F83" s="773"/>
    </row>
    <row r="84" spans="1:6" ht="18" thickBot="1" x14ac:dyDescent="0.35">
      <c r="A84" s="1319" t="s">
        <v>185</v>
      </c>
      <c r="B84" s="1320"/>
      <c r="C84" s="767">
        <f>+C86+C89+C93+C97</f>
        <v>3373420198.1100001</v>
      </c>
      <c r="D84" s="767">
        <v>2989210611.1100001</v>
      </c>
      <c r="E84" s="768">
        <f t="shared" si="2"/>
        <v>384209587</v>
      </c>
      <c r="F84" s="771">
        <f t="shared" si="3"/>
        <v>0.12853212335457664</v>
      </c>
    </row>
    <row r="85" spans="1:6" x14ac:dyDescent="0.3">
      <c r="A85" s="772"/>
      <c r="B85" s="766"/>
      <c r="C85" s="768"/>
      <c r="D85" s="768"/>
      <c r="E85" s="769"/>
      <c r="F85" s="773"/>
    </row>
    <row r="86" spans="1:6" ht="18" thickBot="1" x14ac:dyDescent="0.35">
      <c r="A86" s="774">
        <v>3100</v>
      </c>
      <c r="B86" s="775" t="s">
        <v>863</v>
      </c>
      <c r="C86" s="765">
        <v>2092900777</v>
      </c>
      <c r="D86" s="765">
        <v>1977387723</v>
      </c>
      <c r="E86" s="768">
        <f t="shared" si="2"/>
        <v>115513054</v>
      </c>
      <c r="F86" s="771">
        <f t="shared" si="3"/>
        <v>5.8416997666370159E-2</v>
      </c>
    </row>
    <row r="87" spans="1:6" ht="18" thickTop="1" x14ac:dyDescent="0.3">
      <c r="A87" s="776">
        <v>3105</v>
      </c>
      <c r="B87" s="764" t="s">
        <v>1214</v>
      </c>
      <c r="C87" s="777">
        <v>2092900777</v>
      </c>
      <c r="D87" s="777">
        <v>1977387723</v>
      </c>
      <c r="E87" s="769">
        <f t="shared" si="2"/>
        <v>115513054</v>
      </c>
      <c r="F87" s="773">
        <f t="shared" si="3"/>
        <v>5.8416997666370159E-2</v>
      </c>
    </row>
    <row r="88" spans="1:6" x14ac:dyDescent="0.3">
      <c r="A88" s="776"/>
      <c r="B88" s="764"/>
      <c r="C88" s="777"/>
      <c r="D88" s="777"/>
      <c r="E88" s="769"/>
      <c r="F88" s="773"/>
    </row>
    <row r="89" spans="1:6" ht="18" thickBot="1" x14ac:dyDescent="0.35">
      <c r="A89" s="774">
        <v>3200</v>
      </c>
      <c r="B89" s="775" t="s">
        <v>1204</v>
      </c>
      <c r="C89" s="765">
        <f>SUM(C90:C91)</f>
        <v>654906807.11000001</v>
      </c>
      <c r="D89" s="765">
        <v>654906807.11000001</v>
      </c>
      <c r="E89" s="768">
        <f t="shared" si="2"/>
        <v>0</v>
      </c>
      <c r="F89" s="771">
        <f t="shared" si="3"/>
        <v>0</v>
      </c>
    </row>
    <row r="90" spans="1:6" ht="18" thickTop="1" x14ac:dyDescent="0.3">
      <c r="A90" s="776">
        <v>3205</v>
      </c>
      <c r="B90" s="764" t="s">
        <v>866</v>
      </c>
      <c r="C90" s="777">
        <v>652785232.11000001</v>
      </c>
      <c r="D90" s="777">
        <v>652785232.11000001</v>
      </c>
      <c r="E90" s="769">
        <f t="shared" si="2"/>
        <v>0</v>
      </c>
      <c r="F90" s="773">
        <f t="shared" si="3"/>
        <v>0</v>
      </c>
    </row>
    <row r="91" spans="1:6" x14ac:dyDescent="0.3">
      <c r="A91" s="776">
        <v>3225</v>
      </c>
      <c r="B91" s="764" t="s">
        <v>43</v>
      </c>
      <c r="C91" s="777">
        <v>2121575</v>
      </c>
      <c r="D91" s="777">
        <v>2121575</v>
      </c>
      <c r="E91" s="769">
        <f t="shared" si="2"/>
        <v>0</v>
      </c>
      <c r="F91" s="773">
        <f t="shared" si="3"/>
        <v>0</v>
      </c>
    </row>
    <row r="92" spans="1:6" x14ac:dyDescent="0.3">
      <c r="A92" s="776"/>
      <c r="B92" s="764"/>
      <c r="C92" s="777"/>
      <c r="D92" s="777"/>
      <c r="E92" s="769"/>
      <c r="F92" s="773"/>
    </row>
    <row r="93" spans="1:6" ht="18" thickBot="1" x14ac:dyDescent="0.35">
      <c r="A93" s="774">
        <v>3300</v>
      </c>
      <c r="B93" s="775" t="s">
        <v>1205</v>
      </c>
      <c r="C93" s="765">
        <f>SUM(C94:C95)</f>
        <v>356401837</v>
      </c>
      <c r="D93" s="765">
        <v>306469128</v>
      </c>
      <c r="E93" s="768">
        <f t="shared" si="2"/>
        <v>49932709</v>
      </c>
      <c r="F93" s="771">
        <f t="shared" si="3"/>
        <v>0.16292900144904646</v>
      </c>
    </row>
    <row r="94" spans="1:6" ht="18" thickTop="1" x14ac:dyDescent="0.3">
      <c r="A94" s="776">
        <v>3305</v>
      </c>
      <c r="B94" s="764" t="s">
        <v>1206</v>
      </c>
      <c r="C94" s="777">
        <v>283667935</v>
      </c>
      <c r="D94" s="777">
        <v>233735226</v>
      </c>
      <c r="E94" s="769">
        <f t="shared" si="2"/>
        <v>49932709</v>
      </c>
      <c r="F94" s="773">
        <f t="shared" si="3"/>
        <v>0.2136293696697647</v>
      </c>
    </row>
    <row r="95" spans="1:6" x14ac:dyDescent="0.3">
      <c r="A95" s="776">
        <v>3395</v>
      </c>
      <c r="B95" s="764" t="s">
        <v>1207</v>
      </c>
      <c r="C95" s="777">
        <v>72733902</v>
      </c>
      <c r="D95" s="777">
        <v>72733902</v>
      </c>
      <c r="E95" s="769">
        <f t="shared" si="2"/>
        <v>0</v>
      </c>
      <c r="F95" s="773">
        <f t="shared" si="3"/>
        <v>0</v>
      </c>
    </row>
    <row r="96" spans="1:6" x14ac:dyDescent="0.3">
      <c r="A96" s="776"/>
      <c r="B96" s="764"/>
      <c r="C96" s="777"/>
      <c r="D96" s="777"/>
      <c r="E96" s="769"/>
      <c r="F96" s="773"/>
    </row>
    <row r="97" spans="1:6" ht="18" thickBot="1" x14ac:dyDescent="0.35">
      <c r="A97" s="774">
        <v>3600</v>
      </c>
      <c r="B97" s="775" t="s">
        <v>1208</v>
      </c>
      <c r="C97" s="765">
        <f>+C98+C99</f>
        <v>269210777</v>
      </c>
      <c r="D97" s="765">
        <v>300110496</v>
      </c>
      <c r="E97" s="768">
        <f t="shared" si="2"/>
        <v>-30899719</v>
      </c>
      <c r="F97" s="771">
        <f t="shared" si="3"/>
        <v>-0.10296114068599586</v>
      </c>
    </row>
    <row r="98" spans="1:6" ht="18" thickTop="1" x14ac:dyDescent="0.3">
      <c r="A98" s="776">
        <v>3605</v>
      </c>
      <c r="B98" s="764" t="s">
        <v>46</v>
      </c>
      <c r="C98" s="777">
        <v>136030648</v>
      </c>
      <c r="D98" s="777">
        <v>50446953</v>
      </c>
      <c r="E98" s="769">
        <f t="shared" si="2"/>
        <v>85583695</v>
      </c>
      <c r="F98" s="773">
        <f t="shared" si="3"/>
        <v>1.696508706878689</v>
      </c>
    </row>
    <row r="99" spans="1:6" ht="18" thickBot="1" x14ac:dyDescent="0.35">
      <c r="A99" s="780">
        <v>3606</v>
      </c>
      <c r="B99" s="781" t="s">
        <v>1209</v>
      </c>
      <c r="C99" s="782">
        <v>133180129</v>
      </c>
      <c r="D99" s="782">
        <v>249663543</v>
      </c>
      <c r="E99" s="783">
        <f t="shared" si="2"/>
        <v>-116483414</v>
      </c>
      <c r="F99" s="784">
        <f t="shared" si="3"/>
        <v>-0.46656156762142881</v>
      </c>
    </row>
    <row r="100" spans="1:6" x14ac:dyDescent="0.3">
      <c r="A100" s="764"/>
      <c r="B100" s="764"/>
      <c r="C100" s="763"/>
      <c r="D100" s="763"/>
      <c r="E100" s="763"/>
    </row>
    <row r="101" spans="1:6" x14ac:dyDescent="0.3">
      <c r="A101" s="764"/>
      <c r="B101" s="648"/>
      <c r="C101" s="648"/>
      <c r="D101" s="648"/>
      <c r="E101" s="744"/>
      <c r="F101" s="745"/>
    </row>
    <row r="102" spans="1:6" x14ac:dyDescent="0.3">
      <c r="A102" s="764"/>
      <c r="B102" s="648"/>
      <c r="C102" s="648"/>
      <c r="D102" s="648"/>
      <c r="E102" s="744"/>
      <c r="F102" s="745"/>
    </row>
    <row r="103" spans="1:6" x14ac:dyDescent="0.3">
      <c r="A103" s="764"/>
      <c r="B103" s="648"/>
      <c r="C103" s="648"/>
      <c r="D103" s="648"/>
      <c r="E103" s="744"/>
      <c r="F103" s="745"/>
    </row>
    <row r="104" spans="1:6" x14ac:dyDescent="0.3">
      <c r="A104" s="764"/>
      <c r="B104" s="648"/>
      <c r="C104" s="654"/>
      <c r="D104" s="654"/>
      <c r="E104" s="744"/>
      <c r="F104" s="745"/>
    </row>
    <row r="105" spans="1:6" x14ac:dyDescent="0.3">
      <c r="A105" s="764"/>
      <c r="B105" s="643" t="s">
        <v>1091</v>
      </c>
      <c r="C105" s="644" t="s">
        <v>1171</v>
      </c>
      <c r="D105" s="644"/>
      <c r="E105" s="644" t="s">
        <v>258</v>
      </c>
      <c r="F105" s="644"/>
    </row>
    <row r="106" spans="1:6" x14ac:dyDescent="0.3">
      <c r="A106" s="764"/>
      <c r="B106" s="643" t="s">
        <v>1092</v>
      </c>
      <c r="C106" s="647" t="s">
        <v>1154</v>
      </c>
      <c r="D106" s="646"/>
      <c r="E106" s="647" t="s">
        <v>1093</v>
      </c>
      <c r="F106" s="647"/>
    </row>
    <row r="107" spans="1:6" x14ac:dyDescent="0.3">
      <c r="A107" s="764"/>
      <c r="B107" s="643"/>
      <c r="C107" s="643"/>
      <c r="D107" s="643"/>
      <c r="E107" s="644" t="s">
        <v>1094</v>
      </c>
      <c r="F107" s="644"/>
    </row>
    <row r="108" spans="1:6" x14ac:dyDescent="0.3">
      <c r="A108" s="764"/>
      <c r="B108" s="648"/>
      <c r="C108" s="648"/>
      <c r="D108" s="744"/>
      <c r="E108" s="654"/>
      <c r="F108" s="648"/>
    </row>
    <row r="109" spans="1:6" x14ac:dyDescent="0.3">
      <c r="A109" s="764"/>
      <c r="B109" s="764"/>
      <c r="C109" s="763"/>
      <c r="D109" s="763"/>
      <c r="E109" s="763"/>
    </row>
    <row r="110" spans="1:6" x14ac:dyDescent="0.3">
      <c r="A110" s="764"/>
      <c r="B110" s="764"/>
      <c r="C110" s="763"/>
      <c r="D110" s="763"/>
      <c r="E110" s="763"/>
    </row>
    <row r="111" spans="1:6" x14ac:dyDescent="0.3">
      <c r="A111" s="764"/>
      <c r="B111" s="764"/>
      <c r="C111" s="763"/>
      <c r="D111" s="763"/>
      <c r="E111" s="763"/>
    </row>
  </sheetData>
  <mergeCells count="7">
    <mergeCell ref="A4:B4"/>
    <mergeCell ref="A6:B6"/>
    <mergeCell ref="A44:B44"/>
    <mergeCell ref="A84:B84"/>
    <mergeCell ref="A1:F1"/>
    <mergeCell ref="A2:F2"/>
    <mergeCell ref="A3:F3"/>
  </mergeCells>
  <pageMargins left="0.7" right="0.7" top="0.75" bottom="0.75" header="0.3" footer="0.3"/>
  <pageSetup scale="7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tabColor rgb="FFFF0000"/>
  </sheetPr>
  <dimension ref="A1:D366"/>
  <sheetViews>
    <sheetView zoomScaleNormal="100" workbookViewId="0">
      <selection activeCell="D23" sqref="D23"/>
    </sheetView>
  </sheetViews>
  <sheetFormatPr baseColWidth="10" defaultRowHeight="20.100000000000001" customHeight="1" x14ac:dyDescent="0.25"/>
  <cols>
    <col min="1" max="1" width="35.33203125" style="397" customWidth="1"/>
    <col min="2" max="2" width="19.44140625" style="389" customWidth="1"/>
    <col min="3" max="3" width="11.5546875" style="413" customWidth="1"/>
    <col min="4" max="16384" width="11.5546875" style="389"/>
  </cols>
  <sheetData>
    <row r="1" spans="1:3" ht="20.100000000000001" customHeight="1" x14ac:dyDescent="0.25">
      <c r="A1" s="1194" t="s">
        <v>116</v>
      </c>
      <c r="B1" s="1195"/>
    </row>
    <row r="2" spans="1:3" ht="20.100000000000001" customHeight="1" x14ac:dyDescent="0.25">
      <c r="A2" s="1195" t="s">
        <v>644</v>
      </c>
      <c r="B2" s="1195"/>
    </row>
    <row r="3" spans="1:3" ht="20.100000000000001" customHeight="1" x14ac:dyDescent="0.25">
      <c r="A3" s="1195">
        <f>'BALANCE AÑO ANTERIOR'!A3:E3</f>
        <v>0</v>
      </c>
      <c r="B3" s="1195"/>
    </row>
    <row r="4" spans="1:3" ht="14.25" x14ac:dyDescent="0.25">
      <c r="A4" s="409"/>
      <c r="B4" s="413"/>
    </row>
    <row r="5" spans="1:3" ht="14.25" x14ac:dyDescent="0.25">
      <c r="A5" s="1193" t="s">
        <v>218</v>
      </c>
      <c r="B5" s="761"/>
    </row>
    <row r="6" spans="1:3" ht="36.75" customHeight="1" x14ac:dyDescent="0.25">
      <c r="A6" s="1193"/>
      <c r="B6" s="412" t="s">
        <v>1534</v>
      </c>
    </row>
    <row r="7" spans="1:3" ht="14.25" x14ac:dyDescent="0.25">
      <c r="A7" s="369" t="s">
        <v>220</v>
      </c>
      <c r="B7" s="829">
        <f>+LINIX!C352-LINIX!C358</f>
        <v>6402964047</v>
      </c>
    </row>
    <row r="8" spans="1:3" ht="14.25" x14ac:dyDescent="0.25">
      <c r="A8" s="369" t="s">
        <v>649</v>
      </c>
      <c r="B8" s="829">
        <f>+LINIX!C349</f>
        <v>319408338</v>
      </c>
    </row>
    <row r="9" spans="1:3" s="396" customFormat="1" ht="14.25" x14ac:dyDescent="0.25">
      <c r="A9" s="394" t="s">
        <v>221</v>
      </c>
      <c r="B9" s="825">
        <f>SUM(B7:B8)</f>
        <v>6722372385</v>
      </c>
      <c r="C9" s="409"/>
    </row>
    <row r="10" spans="1:3" s="396" customFormat="1" ht="14.25" x14ac:dyDescent="0.25">
      <c r="A10" s="406"/>
      <c r="B10" s="403"/>
      <c r="C10" s="409"/>
    </row>
    <row r="11" spans="1:3" s="396" customFormat="1" ht="14.25" x14ac:dyDescent="0.25">
      <c r="A11" s="406"/>
      <c r="B11" s="403"/>
      <c r="C11" s="409"/>
    </row>
    <row r="12" spans="1:3" ht="14.25" x14ac:dyDescent="0.25">
      <c r="A12" s="1193" t="s">
        <v>222</v>
      </c>
      <c r="B12" s="414"/>
    </row>
    <row r="13" spans="1:3" ht="14.25" x14ac:dyDescent="0.25">
      <c r="A13" s="1193"/>
      <c r="B13" s="412" t="str">
        <f>+B6</f>
        <v>Ejecutado DICIEMBRE 2024</v>
      </c>
    </row>
    <row r="14" spans="1:3" ht="14.25" x14ac:dyDescent="0.25">
      <c r="A14" s="369" t="s">
        <v>55</v>
      </c>
      <c r="B14" s="393">
        <f>+LINIX!C501</f>
        <v>589747667.71000004</v>
      </c>
    </row>
    <row r="15" spans="1:3" ht="14.25" x14ac:dyDescent="0.25">
      <c r="A15" s="369" t="s">
        <v>1337</v>
      </c>
      <c r="B15" s="393">
        <f>+LINIX!C492</f>
        <v>18171910</v>
      </c>
    </row>
    <row r="16" spans="1:3" ht="14.25" x14ac:dyDescent="0.25">
      <c r="A16" s="369" t="s">
        <v>648</v>
      </c>
      <c r="B16" s="393">
        <f>+LINIX!C493+LINIX!C495</f>
        <v>1775503214.3399999</v>
      </c>
    </row>
    <row r="17" spans="1:3" ht="14.25" x14ac:dyDescent="0.25">
      <c r="A17" s="369" t="s">
        <v>54</v>
      </c>
      <c r="B17" s="325">
        <f>+LINIX!C500</f>
        <v>598001884</v>
      </c>
    </row>
    <row r="18" spans="1:3" ht="14.25" x14ac:dyDescent="0.25">
      <c r="A18" s="369" t="str">
        <f>+LINIX!B498</f>
        <v>Comisiones asumidas - Red Coopcentral</v>
      </c>
      <c r="B18" s="325">
        <f>+LINIX!C498</f>
        <v>8486317</v>
      </c>
    </row>
    <row r="19" spans="1:3" s="396" customFormat="1" ht="14.25" x14ac:dyDescent="0.25">
      <c r="A19" s="394" t="s">
        <v>223</v>
      </c>
      <c r="B19" s="395">
        <f>SUM(B14:B18)</f>
        <v>2989910993.0500002</v>
      </c>
      <c r="C19" s="409"/>
    </row>
    <row r="20" spans="1:3" ht="14.25" x14ac:dyDescent="0.25">
      <c r="A20" s="394" t="s">
        <v>397</v>
      </c>
      <c r="B20" s="395">
        <f>+B9-B19</f>
        <v>3732461391.9499998</v>
      </c>
    </row>
    <row r="21" spans="1:3" ht="14.25" x14ac:dyDescent="0.25">
      <c r="A21" s="406"/>
      <c r="B21" s="403"/>
    </row>
    <row r="22" spans="1:3" ht="14.25" x14ac:dyDescent="0.25">
      <c r="A22" s="406"/>
      <c r="B22" s="403"/>
    </row>
    <row r="23" spans="1:3" ht="14.25" x14ac:dyDescent="0.25">
      <c r="A23" s="1193" t="s">
        <v>224</v>
      </c>
      <c r="B23" s="761"/>
    </row>
    <row r="24" spans="1:3" ht="14.25" x14ac:dyDescent="0.25">
      <c r="A24" s="1193" t="s">
        <v>60</v>
      </c>
      <c r="B24" s="484" t="str">
        <f>B6</f>
        <v>Ejecutado DICIEMBRE 2024</v>
      </c>
    </row>
    <row r="25" spans="1:3" ht="14.25" x14ac:dyDescent="0.25">
      <c r="A25" s="368" t="s">
        <v>60</v>
      </c>
      <c r="B25" s="393">
        <f>+LINIX!C377</f>
        <v>772370902</v>
      </c>
    </row>
    <row r="26" spans="1:3" ht="14.25" x14ac:dyDescent="0.25">
      <c r="A26" s="368" t="s">
        <v>61</v>
      </c>
      <c r="B26" s="393">
        <f>+LINIX!C379</f>
        <v>17713835</v>
      </c>
    </row>
    <row r="27" spans="1:3" ht="14.25" x14ac:dyDescent="0.25">
      <c r="A27" s="368" t="s">
        <v>62</v>
      </c>
      <c r="B27" s="393">
        <f>+LINIX!C381</f>
        <v>69827611</v>
      </c>
    </row>
    <row r="28" spans="1:3" ht="14.25" x14ac:dyDescent="0.25">
      <c r="A28" s="368" t="s">
        <v>63</v>
      </c>
      <c r="B28" s="393">
        <f>+LINIX!C383</f>
        <v>8232858</v>
      </c>
    </row>
    <row r="29" spans="1:3" ht="14.25" x14ac:dyDescent="0.25">
      <c r="A29" s="368" t="s">
        <v>64</v>
      </c>
      <c r="B29" s="393">
        <f>+LINIX!C385</f>
        <v>65593179</v>
      </c>
    </row>
    <row r="30" spans="1:3" ht="14.25" x14ac:dyDescent="0.25">
      <c r="A30" s="368" t="s">
        <v>65</v>
      </c>
      <c r="B30" s="393">
        <f>+LINIX!C387</f>
        <v>33000000</v>
      </c>
    </row>
    <row r="31" spans="1:3" ht="14.25" x14ac:dyDescent="0.25">
      <c r="A31" s="368" t="s">
        <v>66</v>
      </c>
      <c r="B31" s="393">
        <f>+LINIX!C389</f>
        <v>69550920</v>
      </c>
    </row>
    <row r="32" spans="1:3" ht="14.25" x14ac:dyDescent="0.25">
      <c r="A32" s="368" t="s">
        <v>67</v>
      </c>
      <c r="B32" s="393">
        <f>+LINIX!C390</f>
        <v>140315500</v>
      </c>
    </row>
    <row r="33" spans="1:2" ht="14.25" x14ac:dyDescent="0.25">
      <c r="A33" s="368" t="s">
        <v>68</v>
      </c>
      <c r="B33" s="393">
        <f>+LINIX!C392</f>
        <v>3505799</v>
      </c>
    </row>
    <row r="34" spans="1:2" ht="14.25" x14ac:dyDescent="0.25">
      <c r="A34" s="368" t="s">
        <v>1360</v>
      </c>
      <c r="B34" s="393">
        <f>+LINIX!C395</f>
        <v>0</v>
      </c>
    </row>
    <row r="35" spans="1:2" ht="14.25" x14ac:dyDescent="0.25">
      <c r="A35" s="368" t="s">
        <v>69</v>
      </c>
      <c r="B35" s="393">
        <f>+LINIX!C396</f>
        <v>10034660</v>
      </c>
    </row>
    <row r="36" spans="1:2" ht="14.25" x14ac:dyDescent="0.25">
      <c r="A36" s="368" t="s">
        <v>225</v>
      </c>
      <c r="B36" s="393">
        <f>+LINIX!C398</f>
        <v>72010474</v>
      </c>
    </row>
    <row r="37" spans="1:2" ht="14.25" x14ac:dyDescent="0.25">
      <c r="A37" s="368" t="s">
        <v>226</v>
      </c>
      <c r="B37" s="393">
        <f>+LINIX!C400</f>
        <v>100070014</v>
      </c>
    </row>
    <row r="38" spans="1:2" ht="14.25" x14ac:dyDescent="0.25">
      <c r="A38" s="368" t="s">
        <v>227</v>
      </c>
      <c r="B38" s="393">
        <f>+LINIX!C402</f>
        <v>16955800</v>
      </c>
    </row>
    <row r="39" spans="1:2" ht="14.25" x14ac:dyDescent="0.25">
      <c r="A39" s="361" t="s">
        <v>122</v>
      </c>
      <c r="B39" s="393">
        <f>+LINIX!C404+LINIX!C407+LINIX!C409</f>
        <v>71372000</v>
      </c>
    </row>
    <row r="40" spans="1:2" ht="14.25" x14ac:dyDescent="0.25">
      <c r="A40" s="394" t="s">
        <v>228</v>
      </c>
      <c r="B40" s="825">
        <f>SUM(B25:B39)</f>
        <v>1450553552</v>
      </c>
    </row>
    <row r="41" spans="1:2" ht="14.25" x14ac:dyDescent="0.25">
      <c r="A41" s="406"/>
      <c r="B41" s="399"/>
    </row>
    <row r="42" spans="1:2" ht="14.25" x14ac:dyDescent="0.25">
      <c r="A42" s="407"/>
      <c r="B42" s="403"/>
    </row>
    <row r="43" spans="1:2" ht="14.25" x14ac:dyDescent="0.25">
      <c r="A43" s="1193" t="s">
        <v>229</v>
      </c>
      <c r="B43" s="404"/>
    </row>
    <row r="44" spans="1:2" ht="14.25" x14ac:dyDescent="0.25">
      <c r="A44" s="1193"/>
      <c r="B44" s="391" t="str">
        <f>B24</f>
        <v>Ejecutado DICIEMBRE 2024</v>
      </c>
    </row>
    <row r="45" spans="1:2" ht="14.25" x14ac:dyDescent="0.25">
      <c r="A45" s="368" t="s">
        <v>230</v>
      </c>
      <c r="B45" s="1163">
        <f>+LINIX!C412-'EJE PRESUPUESTAL '!B46</f>
        <v>31325496</v>
      </c>
    </row>
    <row r="46" spans="1:2" ht="14.25" x14ac:dyDescent="0.25">
      <c r="A46" s="368" t="s">
        <v>231</v>
      </c>
      <c r="B46" s="1163">
        <v>46410000</v>
      </c>
    </row>
    <row r="47" spans="1:2" ht="14.25" x14ac:dyDescent="0.25">
      <c r="A47" s="368" t="s">
        <v>73</v>
      </c>
      <c r="B47" s="393">
        <f>+LINIX!C413</f>
        <v>5254647</v>
      </c>
    </row>
    <row r="48" spans="1:2" ht="14.25" x14ac:dyDescent="0.25">
      <c r="A48" s="368" t="s">
        <v>76</v>
      </c>
      <c r="B48" s="393">
        <f>+LINIX!C418</f>
        <v>10838861</v>
      </c>
    </row>
    <row r="49" spans="1:3" ht="14.25" x14ac:dyDescent="0.25">
      <c r="A49" s="368" t="s">
        <v>1054</v>
      </c>
      <c r="B49" s="393">
        <f>+LINIX!C415</f>
        <v>16137190</v>
      </c>
    </row>
    <row r="50" spans="1:3" ht="14.25" x14ac:dyDescent="0.25">
      <c r="A50" s="368" t="s">
        <v>77</v>
      </c>
      <c r="B50" s="393">
        <f>+LINIX!C419</f>
        <v>8201770</v>
      </c>
      <c r="C50" s="498"/>
    </row>
    <row r="51" spans="1:3" ht="14.25" x14ac:dyDescent="0.25">
      <c r="A51" s="368" t="s">
        <v>436</v>
      </c>
      <c r="B51" s="393">
        <f>+LINIX!C422</f>
        <v>3594000</v>
      </c>
    </row>
    <row r="52" spans="1:3" ht="14.25" x14ac:dyDescent="0.25">
      <c r="A52" s="368" t="s">
        <v>232</v>
      </c>
      <c r="B52" s="393">
        <f>+LINIX!C424</f>
        <v>16208942</v>
      </c>
    </row>
    <row r="53" spans="1:3" ht="14.25" x14ac:dyDescent="0.25">
      <c r="A53" s="368" t="s">
        <v>233</v>
      </c>
      <c r="B53" s="393">
        <f>+LINIX!C426</f>
        <v>17201508</v>
      </c>
    </row>
    <row r="54" spans="1:3" ht="14.25" x14ac:dyDescent="0.25">
      <c r="A54" s="368" t="s">
        <v>79</v>
      </c>
      <c r="B54" s="389">
        <v>0</v>
      </c>
    </row>
    <row r="55" spans="1:3" ht="14.25" x14ac:dyDescent="0.25">
      <c r="A55" s="368" t="s">
        <v>234</v>
      </c>
      <c r="B55" s="393">
        <f>+LINIX!C428</f>
        <v>37658482</v>
      </c>
    </row>
    <row r="56" spans="1:3" ht="14.25" x14ac:dyDescent="0.25">
      <c r="A56" s="368" t="s">
        <v>81</v>
      </c>
      <c r="B56" s="389">
        <f>+LINIX!C430</f>
        <v>6337103</v>
      </c>
      <c r="C56" s="498"/>
    </row>
    <row r="57" spans="1:3" ht="14.25" x14ac:dyDescent="0.25">
      <c r="A57" s="368" t="s">
        <v>82</v>
      </c>
      <c r="B57" s="393">
        <f>+LINIX!C432</f>
        <v>31316684</v>
      </c>
    </row>
    <row r="58" spans="1:3" ht="14.25" x14ac:dyDescent="0.25">
      <c r="A58" s="368" t="s">
        <v>83</v>
      </c>
      <c r="B58" s="393">
        <f>+LINIX!C434</f>
        <v>10710860</v>
      </c>
    </row>
    <row r="59" spans="1:3" ht="14.25" x14ac:dyDescent="0.25">
      <c r="A59" s="368" t="s">
        <v>84</v>
      </c>
      <c r="B59" s="393">
        <f>+LINIX!C436</f>
        <v>46311725</v>
      </c>
    </row>
    <row r="60" spans="1:3" ht="14.25" x14ac:dyDescent="0.25">
      <c r="A60" s="368" t="s">
        <v>85</v>
      </c>
      <c r="B60" s="393">
        <f>+LINIX!C438</f>
        <v>37578006</v>
      </c>
    </row>
    <row r="61" spans="1:3" ht="14.25" x14ac:dyDescent="0.25">
      <c r="A61" s="368" t="s">
        <v>86</v>
      </c>
      <c r="B61" s="393">
        <f>+LINIX!C439</f>
        <v>14663714</v>
      </c>
    </row>
    <row r="62" spans="1:3" ht="14.25" x14ac:dyDescent="0.25">
      <c r="A62" s="368" t="s">
        <v>87</v>
      </c>
      <c r="B62" s="393">
        <f>+LINIX!C442</f>
        <v>40890907</v>
      </c>
    </row>
    <row r="63" spans="1:3" ht="14.25" x14ac:dyDescent="0.25">
      <c r="A63" s="368" t="s">
        <v>235</v>
      </c>
      <c r="B63" s="393">
        <f>+LINIX!C443</f>
        <v>18716646</v>
      </c>
    </row>
    <row r="64" spans="1:3" ht="15.75" x14ac:dyDescent="0.25">
      <c r="A64" s="368" t="s">
        <v>88</v>
      </c>
      <c r="B64" s="1164">
        <f>+LINIX!C445</f>
        <v>3102099</v>
      </c>
      <c r="C64" s="498"/>
    </row>
    <row r="65" spans="1:3" ht="14.25" x14ac:dyDescent="0.25">
      <c r="A65" s="368" t="s">
        <v>90</v>
      </c>
      <c r="B65" s="393">
        <f>+LINIX!C447</f>
        <v>11207846</v>
      </c>
    </row>
    <row r="66" spans="1:3" ht="14.25" x14ac:dyDescent="0.25">
      <c r="A66" s="368" t="s">
        <v>438</v>
      </c>
      <c r="B66" s="393">
        <f>+LINIX!C449</f>
        <v>0</v>
      </c>
    </row>
    <row r="67" spans="1:3" ht="14.25" x14ac:dyDescent="0.25">
      <c r="A67" s="823" t="s">
        <v>93</v>
      </c>
      <c r="B67" s="393">
        <v>0</v>
      </c>
    </row>
    <row r="68" spans="1:3" ht="14.25" x14ac:dyDescent="0.25">
      <c r="A68" s="389" t="s">
        <v>1174</v>
      </c>
      <c r="B68" s="369">
        <f>+LINIX!C451</f>
        <v>58787201</v>
      </c>
    </row>
    <row r="69" spans="1:3" ht="14.25" x14ac:dyDescent="0.25">
      <c r="A69" s="389" t="s">
        <v>1175</v>
      </c>
      <c r="B69" s="369">
        <f>+LINIX!C453</f>
        <v>248247357</v>
      </c>
    </row>
    <row r="70" spans="1:3" ht="14.25" x14ac:dyDescent="0.25">
      <c r="A70" s="823" t="s">
        <v>687</v>
      </c>
      <c r="B70" s="325">
        <f>+LINIX!C458</f>
        <v>33977983</v>
      </c>
    </row>
    <row r="71" spans="1:3" ht="14.25" x14ac:dyDescent="0.25">
      <c r="A71" s="823" t="s">
        <v>236</v>
      </c>
      <c r="B71" s="393">
        <f>+LINIX!C464</f>
        <v>471519112</v>
      </c>
    </row>
    <row r="72" spans="1:3" ht="14.25" x14ac:dyDescent="0.25">
      <c r="A72" s="368" t="s">
        <v>127</v>
      </c>
      <c r="B72" s="393">
        <f>+LINIX!C465</f>
        <v>22549996</v>
      </c>
    </row>
    <row r="73" spans="1:3" ht="14.25" x14ac:dyDescent="0.25">
      <c r="A73" s="368" t="s">
        <v>1341</v>
      </c>
      <c r="B73" s="393">
        <v>0</v>
      </c>
    </row>
    <row r="74" spans="1:3" ht="14.25" x14ac:dyDescent="0.25">
      <c r="A74" s="369" t="s">
        <v>1009</v>
      </c>
      <c r="B74" s="393">
        <f>+LINIX!C468</f>
        <v>38090226</v>
      </c>
    </row>
    <row r="75" spans="1:3" ht="14.25" x14ac:dyDescent="0.25">
      <c r="A75" s="369" t="s">
        <v>390</v>
      </c>
      <c r="B75" s="393">
        <f>+LINIX!C474</f>
        <v>49298484</v>
      </c>
    </row>
    <row r="76" spans="1:3" ht="14.25" x14ac:dyDescent="0.25">
      <c r="A76" s="368" t="s">
        <v>238</v>
      </c>
      <c r="B76" s="393">
        <f>+LINIX!C478</f>
        <v>23288200</v>
      </c>
    </row>
    <row r="77" spans="1:3" ht="14.25" x14ac:dyDescent="0.25">
      <c r="A77" s="368" t="s">
        <v>237</v>
      </c>
      <c r="B77" s="393">
        <f>+LINIX!C476</f>
        <v>9037200</v>
      </c>
    </row>
    <row r="78" spans="1:3" ht="14.25" x14ac:dyDescent="0.25">
      <c r="A78" s="369" t="s">
        <v>239</v>
      </c>
      <c r="B78" s="393">
        <f>+LINIX!C471</f>
        <v>17483585</v>
      </c>
    </row>
    <row r="79" spans="1:3" ht="14.25" x14ac:dyDescent="0.25">
      <c r="A79" s="369" t="s">
        <v>1404</v>
      </c>
      <c r="B79" s="393">
        <v>0</v>
      </c>
      <c r="C79" s="498"/>
    </row>
    <row r="80" spans="1:3" ht="14.25" x14ac:dyDescent="0.25">
      <c r="A80" s="369" t="s">
        <v>241</v>
      </c>
      <c r="B80" s="393">
        <f>+LINIX!C483+LINIX!C485+LINIX!C486</f>
        <v>48707093.329999998</v>
      </c>
    </row>
    <row r="81" spans="1:4" ht="15.75" x14ac:dyDescent="0.25">
      <c r="A81" s="369" t="s">
        <v>242</v>
      </c>
      <c r="B81" s="393">
        <f>+LINIX!C484</f>
        <v>14688353</v>
      </c>
      <c r="D81" s="816">
        <f>+B89/B9</f>
        <v>0.299775252889386</v>
      </c>
    </row>
    <row r="82" spans="1:4" ht="14.25" x14ac:dyDescent="0.25">
      <c r="A82" s="369" t="s">
        <v>243</v>
      </c>
      <c r="B82" s="393">
        <f>+LINIX!C487</f>
        <v>55123572.399999999</v>
      </c>
    </row>
    <row r="83" spans="1:4" ht="14.25" x14ac:dyDescent="0.25">
      <c r="A83" s="382" t="s">
        <v>244</v>
      </c>
      <c r="B83" s="393">
        <f>+LINIX!C459</f>
        <v>267956998</v>
      </c>
    </row>
    <row r="84" spans="1:4" ht="14.25" x14ac:dyDescent="0.25">
      <c r="A84" s="389" t="s">
        <v>1173</v>
      </c>
      <c r="B84" s="369">
        <f>+LINIX!C455</f>
        <v>3469988</v>
      </c>
      <c r="C84" s="396"/>
    </row>
    <row r="85" spans="1:4" ht="14.25" x14ac:dyDescent="0.25">
      <c r="A85" s="382" t="s">
        <v>245</v>
      </c>
      <c r="B85" s="393">
        <f>+LINIX!C457</f>
        <v>2150000</v>
      </c>
    </row>
    <row r="86" spans="1:4" ht="14.25" hidden="1" x14ac:dyDescent="0.25">
      <c r="A86" s="382" t="s">
        <v>1404</v>
      </c>
      <c r="B86" s="393"/>
    </row>
    <row r="87" spans="1:4" ht="14.25" x14ac:dyDescent="0.25">
      <c r="A87" s="369" t="s">
        <v>1461</v>
      </c>
      <c r="B87" s="393">
        <f>+LINIX!C460+LINIX!C461</f>
        <v>184856440</v>
      </c>
      <c r="C87" s="410" t="s">
        <v>1338</v>
      </c>
    </row>
    <row r="88" spans="1:4" ht="14.25" x14ac:dyDescent="0.25">
      <c r="A88" s="369" t="s">
        <v>1460</v>
      </c>
      <c r="B88" s="393">
        <f>+LINIX!C456</f>
        <v>52302607</v>
      </c>
    </row>
    <row r="89" spans="1:4" ht="14.25" x14ac:dyDescent="0.25">
      <c r="A89" s="394" t="s">
        <v>246</v>
      </c>
      <c r="B89" s="395">
        <f>SUM(B45:B88)</f>
        <v>2015200881.73</v>
      </c>
    </row>
    <row r="90" spans="1:4" ht="14.25" x14ac:dyDescent="0.25">
      <c r="A90" s="394" t="s">
        <v>247</v>
      </c>
      <c r="B90" s="395">
        <f>+B19+B40+B89</f>
        <v>6455665426.7800007</v>
      </c>
    </row>
    <row r="91" spans="1:4" ht="14.25" x14ac:dyDescent="0.25">
      <c r="B91" s="398"/>
    </row>
    <row r="92" spans="1:4" ht="15.75" customHeight="1" x14ac:dyDescent="0.25">
      <c r="A92" s="394" t="s">
        <v>398</v>
      </c>
      <c r="B92" s="395">
        <f>+B9-B90</f>
        <v>266706958.21999931</v>
      </c>
    </row>
    <row r="93" spans="1:4" ht="14.25" x14ac:dyDescent="0.25">
      <c r="A93" s="406"/>
      <c r="B93" s="403"/>
    </row>
    <row r="94" spans="1:4" ht="14.25" x14ac:dyDescent="0.25">
      <c r="A94" s="406"/>
      <c r="B94" s="403"/>
    </row>
    <row r="95" spans="1:4" ht="14.25" x14ac:dyDescent="0.25">
      <c r="A95" s="1193" t="s">
        <v>248</v>
      </c>
      <c r="B95" s="403"/>
    </row>
    <row r="96" spans="1:4" ht="14.25" x14ac:dyDescent="0.25">
      <c r="A96" s="1193"/>
      <c r="B96" s="411" t="str">
        <f>+B6</f>
        <v>Ejecutado DICIEMBRE 2024</v>
      </c>
    </row>
    <row r="97" spans="1:2" ht="15" customHeight="1" x14ac:dyDescent="0.25">
      <c r="A97" s="369" t="s">
        <v>249</v>
      </c>
      <c r="B97" s="829">
        <f>+LINIX!C358+LINIX!C365</f>
        <v>325865654.75999999</v>
      </c>
    </row>
    <row r="98" spans="1:2" ht="15" customHeight="1" x14ac:dyDescent="0.25">
      <c r="A98" s="369" t="s">
        <v>1370</v>
      </c>
      <c r="B98" s="829">
        <f>+LINIX!C370</f>
        <v>9120444</v>
      </c>
    </row>
    <row r="99" spans="1:2" ht="14.25" x14ac:dyDescent="0.25">
      <c r="A99" s="394" t="s">
        <v>251</v>
      </c>
      <c r="B99" s="825">
        <f>SUM(B97:B98)</f>
        <v>334986098.75999999</v>
      </c>
    </row>
    <row r="100" spans="1:2" ht="14.25" x14ac:dyDescent="0.25">
      <c r="A100" s="405"/>
      <c r="B100" s="408"/>
    </row>
    <row r="101" spans="1:2" ht="14.25" x14ac:dyDescent="0.25">
      <c r="A101" s="409"/>
      <c r="B101" s="410"/>
    </row>
    <row r="102" spans="1:2" ht="14.25" x14ac:dyDescent="0.25">
      <c r="A102" s="394" t="s">
        <v>399</v>
      </c>
      <c r="B102" s="486">
        <f>B92+B99</f>
        <v>601693056.9799993</v>
      </c>
    </row>
    <row r="103" spans="1:2" ht="14.25" x14ac:dyDescent="0.25">
      <c r="A103" s="396"/>
      <c r="B103" s="498">
        <f>+B102-'BALANCE AÑO ANTERIOR'!D103</f>
        <v>-2.0000696182250977E-2</v>
      </c>
    </row>
    <row r="104" spans="1:2" ht="36" customHeight="1" x14ac:dyDescent="0.25">
      <c r="A104" s="396"/>
    </row>
    <row r="105" spans="1:2" ht="14.25" x14ac:dyDescent="0.25">
      <c r="A105" s="396"/>
    </row>
    <row r="106" spans="1:2" ht="15" thickBot="1" x14ac:dyDescent="0.3">
      <c r="A106" s="396"/>
      <c r="B106" s="402"/>
    </row>
    <row r="107" spans="1:2" ht="14.25" x14ac:dyDescent="0.25">
      <c r="A107" s="520" t="s">
        <v>425</v>
      </c>
      <c r="B107" s="521" t="s">
        <v>426</v>
      </c>
    </row>
    <row r="108" spans="1:2" ht="14.25" x14ac:dyDescent="0.25">
      <c r="A108" s="522" t="s">
        <v>218</v>
      </c>
      <c r="B108" s="401" t="e">
        <f>B7-#REF!</f>
        <v>#REF!</v>
      </c>
    </row>
    <row r="109" spans="1:2" ht="14.25" x14ac:dyDescent="0.25">
      <c r="A109" s="522" t="s">
        <v>223</v>
      </c>
      <c r="B109" s="401" t="e">
        <f>#REF!-B19</f>
        <v>#REF!</v>
      </c>
    </row>
    <row r="110" spans="1:2" ht="14.25" x14ac:dyDescent="0.25">
      <c r="A110" s="523"/>
      <c r="B110" s="369"/>
    </row>
    <row r="111" spans="1:2" ht="14.25" x14ac:dyDescent="0.25">
      <c r="A111" s="522" t="s">
        <v>397</v>
      </c>
      <c r="B111" s="401" t="e">
        <f>B20-#REF!</f>
        <v>#REF!</v>
      </c>
    </row>
    <row r="112" spans="1:2" ht="14.25" x14ac:dyDescent="0.25">
      <c r="A112" s="523"/>
      <c r="B112" s="369"/>
    </row>
    <row r="113" spans="1:2" ht="14.25" x14ac:dyDescent="0.25">
      <c r="A113" s="522" t="s">
        <v>228</v>
      </c>
      <c r="B113" s="401" t="e">
        <f>#REF!-B40</f>
        <v>#REF!</v>
      </c>
    </row>
    <row r="114" spans="1:2" ht="20.100000000000001" customHeight="1" x14ac:dyDescent="0.25">
      <c r="A114" s="522" t="s">
        <v>427</v>
      </c>
      <c r="B114" s="401" t="e">
        <f>#REF!-B89</f>
        <v>#REF!</v>
      </c>
    </row>
    <row r="115" spans="1:2" ht="20.100000000000001" customHeight="1" x14ac:dyDescent="0.25">
      <c r="A115" s="523"/>
      <c r="B115" s="369"/>
    </row>
    <row r="116" spans="1:2" ht="20.100000000000001" customHeight="1" thickBot="1" x14ac:dyDescent="0.3">
      <c r="A116" s="524" t="s">
        <v>428</v>
      </c>
      <c r="B116" s="525" t="e">
        <f>B102-#REF!</f>
        <v>#REF!</v>
      </c>
    </row>
    <row r="117" spans="1:2" ht="20.100000000000001" customHeight="1" x14ac:dyDescent="0.25">
      <c r="A117" s="409"/>
      <c r="B117" s="413"/>
    </row>
    <row r="118" spans="1:2" ht="20.100000000000001" customHeight="1" x14ac:dyDescent="0.25">
      <c r="A118" s="409"/>
      <c r="B118" s="413"/>
    </row>
    <row r="119" spans="1:2" ht="20.100000000000001" customHeight="1" x14ac:dyDescent="0.25">
      <c r="A119" s="409"/>
      <c r="B119" s="413"/>
    </row>
    <row r="120" spans="1:2" ht="20.100000000000001" customHeight="1" x14ac:dyDescent="0.25">
      <c r="A120" s="409"/>
      <c r="B120" s="413"/>
    </row>
    <row r="121" spans="1:2" ht="20.100000000000001" customHeight="1" x14ac:dyDescent="0.25">
      <c r="A121" s="409"/>
      <c r="B121" s="413"/>
    </row>
    <row r="122" spans="1:2" ht="20.100000000000001" customHeight="1" x14ac:dyDescent="0.25">
      <c r="A122" s="516" t="s">
        <v>399</v>
      </c>
      <c r="B122" s="516">
        <f>B102</f>
        <v>601693056.9799993</v>
      </c>
    </row>
    <row r="123" spans="1:2" ht="20.100000000000001" customHeight="1" x14ac:dyDescent="0.25">
      <c r="A123" s="409"/>
      <c r="B123" s="413"/>
    </row>
    <row r="124" spans="1:2" ht="20.100000000000001" customHeight="1" x14ac:dyDescent="0.25">
      <c r="A124" s="409" t="s">
        <v>1017</v>
      </c>
      <c r="B124" s="413" t="e">
        <f>#REF!</f>
        <v>#REF!</v>
      </c>
    </row>
    <row r="125" spans="1:2" ht="20.100000000000001" customHeight="1" x14ac:dyDescent="0.25">
      <c r="A125" s="409" t="s">
        <v>1018</v>
      </c>
      <c r="B125" s="413" t="e">
        <f>B71+B74-#REF!</f>
        <v>#REF!</v>
      </c>
    </row>
    <row r="126" spans="1:2" ht="20.100000000000001" customHeight="1" x14ac:dyDescent="0.25">
      <c r="A126" s="409"/>
      <c r="B126" s="413"/>
    </row>
    <row r="127" spans="1:2" ht="20.100000000000001" customHeight="1" x14ac:dyDescent="0.25">
      <c r="A127" s="409" t="s">
        <v>691</v>
      </c>
      <c r="B127" s="517" t="e">
        <f>B122+SUM(B124:B126)</f>
        <v>#REF!</v>
      </c>
    </row>
    <row r="128" spans="1:2" ht="20.100000000000001" customHeight="1" x14ac:dyDescent="0.25">
      <c r="A128" s="409"/>
      <c r="B128" s="413"/>
    </row>
    <row r="129" spans="1:2" ht="20.100000000000001" customHeight="1" x14ac:dyDescent="0.25">
      <c r="A129" s="409"/>
      <c r="B129" s="413"/>
    </row>
    <row r="130" spans="1:2" ht="20.100000000000001" customHeight="1" x14ac:dyDescent="0.25">
      <c r="A130" s="409"/>
      <c r="B130" s="413"/>
    </row>
    <row r="131" spans="1:2" ht="20.100000000000001" customHeight="1" x14ac:dyDescent="0.25">
      <c r="A131" s="409"/>
      <c r="B131" s="413"/>
    </row>
    <row r="132" spans="1:2" ht="20.100000000000001" customHeight="1" x14ac:dyDescent="0.25">
      <c r="A132" s="409"/>
      <c r="B132" s="413"/>
    </row>
    <row r="133" spans="1:2" ht="20.100000000000001" customHeight="1" x14ac:dyDescent="0.25">
      <c r="A133" s="409"/>
      <c r="B133" s="413"/>
    </row>
    <row r="134" spans="1:2" ht="20.100000000000001" customHeight="1" x14ac:dyDescent="0.25">
      <c r="A134" s="409"/>
      <c r="B134" s="413"/>
    </row>
    <row r="135" spans="1:2" ht="20.100000000000001" customHeight="1" x14ac:dyDescent="0.25">
      <c r="A135" s="409"/>
      <c r="B135" s="413"/>
    </row>
    <row r="136" spans="1:2" ht="20.100000000000001" customHeight="1" x14ac:dyDescent="0.25">
      <c r="A136" s="409"/>
      <c r="B136" s="413"/>
    </row>
    <row r="137" spans="1:2" ht="20.100000000000001" customHeight="1" x14ac:dyDescent="0.25">
      <c r="A137" s="409"/>
      <c r="B137" s="413"/>
    </row>
    <row r="138" spans="1:2" ht="20.100000000000001" customHeight="1" x14ac:dyDescent="0.25">
      <c r="A138" s="409"/>
      <c r="B138" s="413"/>
    </row>
    <row r="139" spans="1:2" ht="20.100000000000001" customHeight="1" x14ac:dyDescent="0.25">
      <c r="A139" s="409"/>
      <c r="B139" s="413"/>
    </row>
    <row r="140" spans="1:2" ht="20.100000000000001" customHeight="1" x14ac:dyDescent="0.25">
      <c r="A140" s="409"/>
      <c r="B140" s="413"/>
    </row>
    <row r="141" spans="1:2" ht="20.100000000000001" customHeight="1" x14ac:dyDescent="0.25">
      <c r="A141" s="409"/>
      <c r="B141" s="413"/>
    </row>
    <row r="142" spans="1:2" ht="20.100000000000001" customHeight="1" x14ac:dyDescent="0.25">
      <c r="A142" s="409"/>
      <c r="B142" s="413"/>
    </row>
    <row r="143" spans="1:2" ht="20.100000000000001" customHeight="1" x14ac:dyDescent="0.25">
      <c r="A143" s="409"/>
      <c r="B143" s="413"/>
    </row>
    <row r="144" spans="1:2" ht="20.100000000000001" customHeight="1" x14ac:dyDescent="0.25">
      <c r="A144" s="396"/>
      <c r="B144" s="392"/>
    </row>
    <row r="145" spans="1:2" ht="20.100000000000001" customHeight="1" x14ac:dyDescent="0.25">
      <c r="A145" s="396"/>
      <c r="B145" s="369"/>
    </row>
    <row r="146" spans="1:2" ht="20.100000000000001" customHeight="1" x14ac:dyDescent="0.25">
      <c r="A146" s="396"/>
      <c r="B146" s="369"/>
    </row>
    <row r="147" spans="1:2" ht="20.100000000000001" customHeight="1" x14ac:dyDescent="0.25">
      <c r="A147" s="396"/>
      <c r="B147" s="369"/>
    </row>
    <row r="148" spans="1:2" ht="20.100000000000001" customHeight="1" x14ac:dyDescent="0.25">
      <c r="A148" s="396"/>
      <c r="B148" s="369"/>
    </row>
    <row r="149" spans="1:2" ht="20.100000000000001" customHeight="1" x14ac:dyDescent="0.25">
      <c r="A149" s="396"/>
      <c r="B149" s="369"/>
    </row>
    <row r="150" spans="1:2" ht="20.100000000000001" customHeight="1" x14ac:dyDescent="0.25">
      <c r="A150" s="396"/>
      <c r="B150" s="369"/>
    </row>
    <row r="151" spans="1:2" ht="20.100000000000001" customHeight="1" x14ac:dyDescent="0.25">
      <c r="A151" s="396"/>
      <c r="B151" s="369"/>
    </row>
    <row r="152" spans="1:2" ht="20.100000000000001" customHeight="1" x14ac:dyDescent="0.25">
      <c r="A152" s="396"/>
      <c r="B152" s="369"/>
    </row>
    <row r="153" spans="1:2" ht="20.100000000000001" customHeight="1" x14ac:dyDescent="0.25">
      <c r="A153" s="396"/>
      <c r="B153" s="369"/>
    </row>
    <row r="154" spans="1:2" ht="20.100000000000001" customHeight="1" x14ac:dyDescent="0.25">
      <c r="A154" s="396"/>
      <c r="B154" s="369"/>
    </row>
    <row r="155" spans="1:2" ht="20.100000000000001" customHeight="1" x14ac:dyDescent="0.25">
      <c r="A155" s="396"/>
      <c r="B155" s="369"/>
    </row>
    <row r="156" spans="1:2" ht="20.100000000000001" customHeight="1" x14ac:dyDescent="0.25">
      <c r="A156" s="396"/>
      <c r="B156" s="369"/>
    </row>
    <row r="157" spans="1:2" ht="20.100000000000001" customHeight="1" x14ac:dyDescent="0.25">
      <c r="A157" s="396"/>
      <c r="B157" s="369"/>
    </row>
    <row r="158" spans="1:2" ht="20.100000000000001" customHeight="1" x14ac:dyDescent="0.25">
      <c r="A158" s="396"/>
      <c r="B158" s="369"/>
    </row>
    <row r="159" spans="1:2" ht="20.100000000000001" customHeight="1" x14ac:dyDescent="0.25">
      <c r="A159" s="396"/>
      <c r="B159" s="369"/>
    </row>
    <row r="160" spans="1:2" ht="20.100000000000001" customHeight="1" x14ac:dyDescent="0.25">
      <c r="A160" s="396"/>
      <c r="B160" s="369"/>
    </row>
    <row r="161" spans="1:2" ht="20.100000000000001" customHeight="1" x14ac:dyDescent="0.25">
      <c r="A161" s="396"/>
      <c r="B161" s="369"/>
    </row>
    <row r="162" spans="1:2" ht="20.100000000000001" customHeight="1" x14ac:dyDescent="0.25">
      <c r="A162" s="396"/>
      <c r="B162" s="369"/>
    </row>
    <row r="163" spans="1:2" ht="20.100000000000001" customHeight="1" x14ac:dyDescent="0.25">
      <c r="A163" s="396"/>
      <c r="B163" s="369"/>
    </row>
    <row r="164" spans="1:2" ht="20.100000000000001" customHeight="1" x14ac:dyDescent="0.25">
      <c r="A164" s="396"/>
      <c r="B164" s="369"/>
    </row>
    <row r="165" spans="1:2" ht="20.100000000000001" customHeight="1" x14ac:dyDescent="0.25">
      <c r="A165" s="396"/>
      <c r="B165" s="369"/>
    </row>
    <row r="166" spans="1:2" ht="20.100000000000001" customHeight="1" x14ac:dyDescent="0.25">
      <c r="A166" s="396"/>
      <c r="B166" s="369"/>
    </row>
    <row r="167" spans="1:2" ht="20.100000000000001" customHeight="1" x14ac:dyDescent="0.25">
      <c r="A167" s="396"/>
      <c r="B167" s="369"/>
    </row>
    <row r="168" spans="1:2" ht="20.100000000000001" customHeight="1" x14ac:dyDescent="0.25">
      <c r="A168" s="396"/>
      <c r="B168" s="369"/>
    </row>
    <row r="169" spans="1:2" ht="20.100000000000001" customHeight="1" x14ac:dyDescent="0.25">
      <c r="A169" s="396"/>
      <c r="B169" s="369"/>
    </row>
    <row r="170" spans="1:2" ht="20.100000000000001" customHeight="1" x14ac:dyDescent="0.25">
      <c r="A170" s="396"/>
      <c r="B170" s="369"/>
    </row>
    <row r="171" spans="1:2" ht="20.100000000000001" customHeight="1" x14ac:dyDescent="0.25">
      <c r="A171" s="396"/>
      <c r="B171" s="369"/>
    </row>
    <row r="172" spans="1:2" ht="20.100000000000001" customHeight="1" x14ac:dyDescent="0.25">
      <c r="A172" s="396"/>
      <c r="B172" s="369"/>
    </row>
    <row r="173" spans="1:2" ht="20.100000000000001" customHeight="1" x14ac:dyDescent="0.25">
      <c r="A173" s="396"/>
      <c r="B173" s="369"/>
    </row>
    <row r="174" spans="1:2" ht="20.100000000000001" customHeight="1" x14ac:dyDescent="0.25">
      <c r="A174" s="396"/>
      <c r="B174" s="369"/>
    </row>
    <row r="175" spans="1:2" ht="20.100000000000001" customHeight="1" x14ac:dyDescent="0.25">
      <c r="A175" s="396"/>
      <c r="B175" s="369"/>
    </row>
    <row r="176" spans="1:2" ht="20.100000000000001" customHeight="1" x14ac:dyDescent="0.25">
      <c r="A176" s="396"/>
      <c r="B176" s="369"/>
    </row>
    <row r="177" spans="1:2" ht="20.100000000000001" customHeight="1" x14ac:dyDescent="0.25">
      <c r="A177" s="396"/>
      <c r="B177" s="369"/>
    </row>
    <row r="178" spans="1:2" ht="20.100000000000001" customHeight="1" x14ac:dyDescent="0.25">
      <c r="A178" s="396"/>
      <c r="B178" s="369"/>
    </row>
    <row r="179" spans="1:2" ht="20.100000000000001" customHeight="1" x14ac:dyDescent="0.25">
      <c r="A179" s="396"/>
      <c r="B179" s="369"/>
    </row>
    <row r="180" spans="1:2" ht="20.100000000000001" customHeight="1" x14ac:dyDescent="0.25">
      <c r="A180" s="396"/>
      <c r="B180" s="369"/>
    </row>
    <row r="181" spans="1:2" ht="20.100000000000001" customHeight="1" x14ac:dyDescent="0.25">
      <c r="A181" s="396"/>
      <c r="B181" s="369"/>
    </row>
    <row r="182" spans="1:2" ht="20.100000000000001" customHeight="1" x14ac:dyDescent="0.25">
      <c r="A182" s="396"/>
      <c r="B182" s="369"/>
    </row>
    <row r="183" spans="1:2" ht="20.100000000000001" customHeight="1" x14ac:dyDescent="0.25">
      <c r="A183" s="396"/>
      <c r="B183" s="369"/>
    </row>
    <row r="184" spans="1:2" ht="20.100000000000001" customHeight="1" x14ac:dyDescent="0.25">
      <c r="A184" s="396"/>
      <c r="B184" s="369"/>
    </row>
    <row r="185" spans="1:2" ht="20.100000000000001" customHeight="1" x14ac:dyDescent="0.25">
      <c r="A185" s="396"/>
      <c r="B185" s="369"/>
    </row>
    <row r="186" spans="1:2" ht="20.100000000000001" customHeight="1" x14ac:dyDescent="0.25">
      <c r="A186" s="396"/>
      <c r="B186" s="369"/>
    </row>
    <row r="187" spans="1:2" ht="20.100000000000001" customHeight="1" x14ac:dyDescent="0.25">
      <c r="A187" s="396"/>
      <c r="B187" s="369"/>
    </row>
    <row r="188" spans="1:2" ht="20.100000000000001" customHeight="1" x14ac:dyDescent="0.25">
      <c r="A188" s="396"/>
      <c r="B188" s="369"/>
    </row>
    <row r="189" spans="1:2" ht="20.100000000000001" customHeight="1" x14ac:dyDescent="0.25">
      <c r="A189" s="396"/>
      <c r="B189" s="369"/>
    </row>
    <row r="190" spans="1:2" ht="20.100000000000001" customHeight="1" x14ac:dyDescent="0.25">
      <c r="A190" s="396"/>
      <c r="B190" s="369"/>
    </row>
    <row r="191" spans="1:2" ht="20.100000000000001" customHeight="1" x14ac:dyDescent="0.25">
      <c r="A191" s="396"/>
      <c r="B191" s="369"/>
    </row>
    <row r="192" spans="1:2" ht="20.100000000000001" customHeight="1" x14ac:dyDescent="0.25">
      <c r="A192" s="396"/>
      <c r="B192" s="369"/>
    </row>
    <row r="193" spans="1:2" ht="20.100000000000001" customHeight="1" x14ac:dyDescent="0.25">
      <c r="A193" s="396"/>
      <c r="B193" s="369"/>
    </row>
    <row r="194" spans="1:2" ht="20.100000000000001" customHeight="1" x14ac:dyDescent="0.25">
      <c r="A194" s="396"/>
      <c r="B194" s="369"/>
    </row>
    <row r="195" spans="1:2" ht="20.100000000000001" customHeight="1" x14ac:dyDescent="0.25">
      <c r="A195" s="396"/>
      <c r="B195" s="369"/>
    </row>
    <row r="196" spans="1:2" ht="20.100000000000001" customHeight="1" x14ac:dyDescent="0.25">
      <c r="A196" s="396"/>
      <c r="B196" s="369"/>
    </row>
    <row r="197" spans="1:2" ht="20.100000000000001" customHeight="1" x14ac:dyDescent="0.25">
      <c r="A197" s="396"/>
      <c r="B197" s="369"/>
    </row>
    <row r="198" spans="1:2" ht="20.100000000000001" customHeight="1" x14ac:dyDescent="0.25">
      <c r="A198" s="396"/>
      <c r="B198" s="369"/>
    </row>
    <row r="199" spans="1:2" ht="20.100000000000001" customHeight="1" x14ac:dyDescent="0.25">
      <c r="A199" s="396"/>
      <c r="B199" s="369"/>
    </row>
    <row r="200" spans="1:2" ht="20.100000000000001" customHeight="1" x14ac:dyDescent="0.25">
      <c r="A200" s="396"/>
      <c r="B200" s="369"/>
    </row>
    <row r="201" spans="1:2" ht="20.100000000000001" customHeight="1" x14ac:dyDescent="0.25">
      <c r="A201" s="396"/>
      <c r="B201" s="369"/>
    </row>
    <row r="202" spans="1:2" ht="20.100000000000001" customHeight="1" x14ac:dyDescent="0.25">
      <c r="A202" s="396"/>
      <c r="B202" s="369"/>
    </row>
    <row r="203" spans="1:2" ht="20.100000000000001" customHeight="1" x14ac:dyDescent="0.25">
      <c r="A203" s="396"/>
      <c r="B203" s="369"/>
    </row>
    <row r="204" spans="1:2" ht="20.100000000000001" customHeight="1" x14ac:dyDescent="0.25">
      <c r="A204" s="396"/>
      <c r="B204" s="369"/>
    </row>
    <row r="205" spans="1:2" ht="20.100000000000001" customHeight="1" x14ac:dyDescent="0.25">
      <c r="A205" s="396"/>
      <c r="B205" s="369"/>
    </row>
    <row r="206" spans="1:2" ht="20.100000000000001" customHeight="1" x14ac:dyDescent="0.25">
      <c r="A206" s="396"/>
      <c r="B206" s="369"/>
    </row>
    <row r="207" spans="1:2" ht="20.100000000000001" customHeight="1" x14ac:dyDescent="0.25">
      <c r="A207" s="396"/>
      <c r="B207" s="369"/>
    </row>
    <row r="208" spans="1:2" ht="20.100000000000001" customHeight="1" x14ac:dyDescent="0.25">
      <c r="A208" s="396"/>
      <c r="B208" s="369"/>
    </row>
    <row r="209" spans="1:2" ht="20.100000000000001" customHeight="1" x14ac:dyDescent="0.25">
      <c r="A209" s="396"/>
      <c r="B209" s="369"/>
    </row>
    <row r="210" spans="1:2" ht="20.100000000000001" customHeight="1" x14ac:dyDescent="0.25">
      <c r="A210" s="396"/>
      <c r="B210" s="369"/>
    </row>
    <row r="211" spans="1:2" ht="20.100000000000001" customHeight="1" x14ac:dyDescent="0.25">
      <c r="A211" s="396"/>
      <c r="B211" s="369"/>
    </row>
    <row r="212" spans="1:2" ht="20.100000000000001" customHeight="1" x14ac:dyDescent="0.25">
      <c r="A212" s="396"/>
      <c r="B212" s="369"/>
    </row>
    <row r="213" spans="1:2" ht="20.100000000000001" customHeight="1" x14ac:dyDescent="0.25">
      <c r="A213" s="396"/>
      <c r="B213" s="369"/>
    </row>
    <row r="214" spans="1:2" ht="20.100000000000001" customHeight="1" x14ac:dyDescent="0.25">
      <c r="A214" s="396"/>
      <c r="B214" s="369"/>
    </row>
    <row r="215" spans="1:2" ht="20.100000000000001" customHeight="1" x14ac:dyDescent="0.25">
      <c r="A215" s="396"/>
      <c r="B215" s="369"/>
    </row>
    <row r="216" spans="1:2" ht="20.100000000000001" customHeight="1" x14ac:dyDescent="0.25">
      <c r="A216" s="396"/>
      <c r="B216" s="369"/>
    </row>
    <row r="217" spans="1:2" ht="20.100000000000001" customHeight="1" x14ac:dyDescent="0.25">
      <c r="A217" s="396"/>
      <c r="B217" s="369"/>
    </row>
    <row r="218" spans="1:2" ht="20.100000000000001" customHeight="1" x14ac:dyDescent="0.25">
      <c r="A218" s="396"/>
      <c r="B218" s="369"/>
    </row>
    <row r="219" spans="1:2" ht="20.100000000000001" customHeight="1" x14ac:dyDescent="0.25">
      <c r="A219" s="396"/>
      <c r="B219" s="369"/>
    </row>
    <row r="220" spans="1:2" ht="20.100000000000001" customHeight="1" x14ac:dyDescent="0.25">
      <c r="A220" s="396"/>
      <c r="B220" s="369"/>
    </row>
    <row r="221" spans="1:2" ht="20.100000000000001" customHeight="1" x14ac:dyDescent="0.25">
      <c r="A221" s="396"/>
      <c r="B221" s="369"/>
    </row>
    <row r="222" spans="1:2" ht="20.100000000000001" customHeight="1" x14ac:dyDescent="0.25">
      <c r="A222" s="396"/>
      <c r="B222" s="369"/>
    </row>
    <row r="223" spans="1:2" ht="20.100000000000001" customHeight="1" x14ac:dyDescent="0.25">
      <c r="A223" s="396"/>
      <c r="B223" s="369"/>
    </row>
    <row r="224" spans="1:2" ht="20.100000000000001" customHeight="1" x14ac:dyDescent="0.25">
      <c r="A224" s="396"/>
      <c r="B224" s="369"/>
    </row>
    <row r="225" spans="1:2" ht="20.100000000000001" customHeight="1" x14ac:dyDescent="0.25">
      <c r="A225" s="396"/>
      <c r="B225" s="369"/>
    </row>
    <row r="226" spans="1:2" ht="20.100000000000001" customHeight="1" x14ac:dyDescent="0.25">
      <c r="A226" s="396"/>
      <c r="B226" s="369"/>
    </row>
    <row r="227" spans="1:2" ht="20.100000000000001" customHeight="1" x14ac:dyDescent="0.25">
      <c r="A227" s="396"/>
      <c r="B227" s="369"/>
    </row>
    <row r="228" spans="1:2" ht="20.100000000000001" customHeight="1" x14ac:dyDescent="0.25">
      <c r="A228" s="396"/>
      <c r="B228" s="369"/>
    </row>
    <row r="229" spans="1:2" ht="20.100000000000001" customHeight="1" x14ac:dyDescent="0.25">
      <c r="A229" s="396"/>
      <c r="B229" s="369"/>
    </row>
    <row r="230" spans="1:2" ht="20.100000000000001" customHeight="1" x14ac:dyDescent="0.25">
      <c r="A230" s="396"/>
      <c r="B230" s="369"/>
    </row>
    <row r="231" spans="1:2" ht="20.100000000000001" customHeight="1" x14ac:dyDescent="0.25">
      <c r="A231" s="396"/>
      <c r="B231" s="369"/>
    </row>
    <row r="232" spans="1:2" ht="20.100000000000001" customHeight="1" x14ac:dyDescent="0.25">
      <c r="A232" s="396"/>
      <c r="B232" s="369"/>
    </row>
    <row r="233" spans="1:2" ht="20.100000000000001" customHeight="1" x14ac:dyDescent="0.25">
      <c r="A233" s="396"/>
      <c r="B233" s="369"/>
    </row>
    <row r="234" spans="1:2" ht="20.100000000000001" customHeight="1" x14ac:dyDescent="0.25">
      <c r="A234" s="396"/>
      <c r="B234" s="369"/>
    </row>
    <row r="235" spans="1:2" ht="20.100000000000001" customHeight="1" x14ac:dyDescent="0.25">
      <c r="A235" s="396"/>
      <c r="B235" s="369"/>
    </row>
    <row r="236" spans="1:2" ht="20.100000000000001" customHeight="1" x14ac:dyDescent="0.25">
      <c r="A236" s="396"/>
      <c r="B236" s="369"/>
    </row>
    <row r="237" spans="1:2" ht="20.100000000000001" customHeight="1" x14ac:dyDescent="0.25">
      <c r="A237" s="396"/>
      <c r="B237" s="369"/>
    </row>
    <row r="238" spans="1:2" ht="20.100000000000001" customHeight="1" x14ac:dyDescent="0.25">
      <c r="A238" s="396"/>
      <c r="B238" s="369"/>
    </row>
    <row r="239" spans="1:2" ht="20.100000000000001" customHeight="1" x14ac:dyDescent="0.25">
      <c r="A239" s="396"/>
      <c r="B239" s="369"/>
    </row>
    <row r="240" spans="1:2" ht="20.100000000000001" customHeight="1" x14ac:dyDescent="0.25">
      <c r="A240" s="396"/>
      <c r="B240" s="369"/>
    </row>
    <row r="241" spans="1:2" ht="20.100000000000001" customHeight="1" x14ac:dyDescent="0.25">
      <c r="A241" s="396"/>
      <c r="B241" s="369"/>
    </row>
    <row r="242" spans="1:2" ht="20.100000000000001" customHeight="1" x14ac:dyDescent="0.25">
      <c r="A242" s="396"/>
      <c r="B242" s="369"/>
    </row>
    <row r="243" spans="1:2" ht="20.100000000000001" customHeight="1" x14ac:dyDescent="0.25">
      <c r="A243" s="396"/>
      <c r="B243" s="369"/>
    </row>
    <row r="244" spans="1:2" ht="20.100000000000001" customHeight="1" x14ac:dyDescent="0.25">
      <c r="A244" s="396"/>
      <c r="B244" s="369"/>
    </row>
    <row r="245" spans="1:2" ht="20.100000000000001" customHeight="1" x14ac:dyDescent="0.25">
      <c r="A245" s="396"/>
      <c r="B245" s="369"/>
    </row>
    <row r="246" spans="1:2" ht="20.100000000000001" customHeight="1" x14ac:dyDescent="0.25">
      <c r="A246" s="396"/>
      <c r="B246" s="369"/>
    </row>
    <row r="247" spans="1:2" ht="20.100000000000001" customHeight="1" x14ac:dyDescent="0.25">
      <c r="A247" s="396"/>
      <c r="B247" s="369"/>
    </row>
    <row r="248" spans="1:2" ht="20.100000000000001" customHeight="1" x14ac:dyDescent="0.25">
      <c r="A248" s="396"/>
      <c r="B248" s="369"/>
    </row>
    <row r="249" spans="1:2" ht="20.100000000000001" customHeight="1" x14ac:dyDescent="0.25">
      <c r="A249" s="396"/>
      <c r="B249" s="369"/>
    </row>
    <row r="250" spans="1:2" ht="20.100000000000001" customHeight="1" x14ac:dyDescent="0.25">
      <c r="A250" s="396"/>
      <c r="B250" s="369"/>
    </row>
    <row r="251" spans="1:2" ht="20.100000000000001" customHeight="1" x14ac:dyDescent="0.25">
      <c r="A251" s="396"/>
      <c r="B251" s="369"/>
    </row>
    <row r="252" spans="1:2" ht="20.100000000000001" customHeight="1" x14ac:dyDescent="0.25">
      <c r="A252" s="396"/>
      <c r="B252" s="369"/>
    </row>
    <row r="253" spans="1:2" ht="20.100000000000001" customHeight="1" x14ac:dyDescent="0.25">
      <c r="A253" s="396"/>
      <c r="B253" s="369"/>
    </row>
    <row r="254" spans="1:2" ht="20.100000000000001" customHeight="1" x14ac:dyDescent="0.25">
      <c r="A254" s="396"/>
      <c r="B254" s="369"/>
    </row>
    <row r="255" spans="1:2" ht="20.100000000000001" customHeight="1" x14ac:dyDescent="0.25">
      <c r="A255" s="396"/>
      <c r="B255" s="369"/>
    </row>
    <row r="256" spans="1:2" ht="20.100000000000001" customHeight="1" x14ac:dyDescent="0.25">
      <c r="A256" s="396"/>
      <c r="B256" s="369"/>
    </row>
    <row r="257" spans="1:2" ht="20.100000000000001" customHeight="1" x14ac:dyDescent="0.25">
      <c r="A257" s="396"/>
      <c r="B257" s="369"/>
    </row>
    <row r="258" spans="1:2" ht="20.100000000000001" customHeight="1" x14ac:dyDescent="0.25">
      <c r="A258" s="396"/>
      <c r="B258" s="369"/>
    </row>
    <row r="259" spans="1:2" ht="20.100000000000001" customHeight="1" x14ac:dyDescent="0.25">
      <c r="A259" s="396"/>
      <c r="B259" s="369"/>
    </row>
    <row r="260" spans="1:2" ht="20.100000000000001" customHeight="1" x14ac:dyDescent="0.25">
      <c r="A260" s="396"/>
      <c r="B260" s="369"/>
    </row>
    <row r="261" spans="1:2" ht="20.100000000000001" customHeight="1" x14ac:dyDescent="0.25">
      <c r="A261" s="396"/>
      <c r="B261" s="369"/>
    </row>
    <row r="262" spans="1:2" ht="20.100000000000001" customHeight="1" x14ac:dyDescent="0.25">
      <c r="A262" s="396"/>
      <c r="B262" s="369"/>
    </row>
    <row r="263" spans="1:2" ht="20.100000000000001" customHeight="1" x14ac:dyDescent="0.25">
      <c r="A263" s="396"/>
      <c r="B263" s="369"/>
    </row>
    <row r="264" spans="1:2" ht="20.100000000000001" customHeight="1" x14ac:dyDescent="0.25">
      <c r="A264" s="396"/>
      <c r="B264" s="369"/>
    </row>
    <row r="265" spans="1:2" ht="20.100000000000001" customHeight="1" x14ac:dyDescent="0.25">
      <c r="A265" s="396"/>
      <c r="B265" s="369"/>
    </row>
    <row r="266" spans="1:2" ht="20.100000000000001" customHeight="1" x14ac:dyDescent="0.25">
      <c r="A266" s="396"/>
      <c r="B266" s="369"/>
    </row>
    <row r="267" spans="1:2" ht="20.100000000000001" customHeight="1" x14ac:dyDescent="0.25">
      <c r="A267" s="396"/>
      <c r="B267" s="369"/>
    </row>
    <row r="268" spans="1:2" ht="20.100000000000001" customHeight="1" x14ac:dyDescent="0.25">
      <c r="A268" s="396"/>
      <c r="B268" s="369"/>
    </row>
    <row r="269" spans="1:2" ht="20.100000000000001" customHeight="1" x14ac:dyDescent="0.25">
      <c r="A269" s="396"/>
      <c r="B269" s="369"/>
    </row>
    <row r="270" spans="1:2" ht="20.100000000000001" customHeight="1" x14ac:dyDescent="0.25">
      <c r="A270" s="396"/>
      <c r="B270" s="369"/>
    </row>
    <row r="271" spans="1:2" ht="20.100000000000001" customHeight="1" x14ac:dyDescent="0.25">
      <c r="A271" s="396"/>
      <c r="B271" s="369"/>
    </row>
    <row r="272" spans="1:2" ht="20.100000000000001" customHeight="1" x14ac:dyDescent="0.25">
      <c r="A272" s="396"/>
      <c r="B272" s="369"/>
    </row>
    <row r="273" spans="1:2" ht="20.100000000000001" customHeight="1" x14ac:dyDescent="0.25">
      <c r="A273" s="396"/>
      <c r="B273" s="369"/>
    </row>
    <row r="274" spans="1:2" ht="20.100000000000001" customHeight="1" x14ac:dyDescent="0.25">
      <c r="A274" s="396"/>
      <c r="B274" s="369"/>
    </row>
    <row r="275" spans="1:2" ht="20.100000000000001" customHeight="1" x14ac:dyDescent="0.25">
      <c r="A275" s="396"/>
      <c r="B275" s="369"/>
    </row>
    <row r="276" spans="1:2" ht="20.100000000000001" customHeight="1" x14ac:dyDescent="0.25">
      <c r="A276" s="396"/>
      <c r="B276" s="369"/>
    </row>
    <row r="277" spans="1:2" ht="20.100000000000001" customHeight="1" x14ac:dyDescent="0.25">
      <c r="A277" s="396"/>
      <c r="B277" s="369"/>
    </row>
    <row r="278" spans="1:2" ht="20.100000000000001" customHeight="1" x14ac:dyDescent="0.25">
      <c r="A278" s="396"/>
      <c r="B278" s="369"/>
    </row>
    <row r="279" spans="1:2" ht="20.100000000000001" customHeight="1" x14ac:dyDescent="0.25">
      <c r="A279" s="396"/>
      <c r="B279" s="369"/>
    </row>
    <row r="280" spans="1:2" ht="20.100000000000001" customHeight="1" x14ac:dyDescent="0.25">
      <c r="A280" s="396"/>
      <c r="B280" s="369"/>
    </row>
    <row r="281" spans="1:2" ht="20.100000000000001" customHeight="1" x14ac:dyDescent="0.25">
      <c r="A281" s="396"/>
      <c r="B281" s="369"/>
    </row>
    <row r="282" spans="1:2" ht="20.100000000000001" customHeight="1" x14ac:dyDescent="0.25">
      <c r="A282" s="396"/>
      <c r="B282" s="369"/>
    </row>
    <row r="283" spans="1:2" ht="20.100000000000001" customHeight="1" x14ac:dyDescent="0.25">
      <c r="A283" s="396"/>
      <c r="B283" s="369"/>
    </row>
    <row r="284" spans="1:2" ht="20.100000000000001" customHeight="1" x14ac:dyDescent="0.25">
      <c r="A284" s="396"/>
      <c r="B284" s="369"/>
    </row>
    <row r="285" spans="1:2" ht="20.100000000000001" customHeight="1" x14ac:dyDescent="0.25">
      <c r="A285" s="396"/>
      <c r="B285" s="369"/>
    </row>
    <row r="286" spans="1:2" ht="20.100000000000001" customHeight="1" x14ac:dyDescent="0.25">
      <c r="A286" s="396"/>
      <c r="B286" s="369"/>
    </row>
    <row r="287" spans="1:2" ht="20.100000000000001" customHeight="1" x14ac:dyDescent="0.25">
      <c r="A287" s="396"/>
      <c r="B287" s="369"/>
    </row>
    <row r="288" spans="1:2" ht="20.100000000000001" customHeight="1" x14ac:dyDescent="0.25">
      <c r="A288" s="396"/>
      <c r="B288" s="369"/>
    </row>
    <row r="289" spans="1:2" ht="20.100000000000001" customHeight="1" x14ac:dyDescent="0.25">
      <c r="A289" s="396"/>
      <c r="B289" s="369"/>
    </row>
    <row r="290" spans="1:2" ht="20.100000000000001" customHeight="1" x14ac:dyDescent="0.25">
      <c r="A290" s="396"/>
      <c r="B290" s="369"/>
    </row>
    <row r="291" spans="1:2" ht="20.100000000000001" customHeight="1" x14ac:dyDescent="0.25">
      <c r="A291" s="396"/>
      <c r="B291" s="369"/>
    </row>
    <row r="292" spans="1:2" ht="20.100000000000001" customHeight="1" x14ac:dyDescent="0.25">
      <c r="A292" s="396"/>
      <c r="B292" s="369"/>
    </row>
    <row r="293" spans="1:2" ht="20.100000000000001" customHeight="1" x14ac:dyDescent="0.25">
      <c r="A293" s="396"/>
      <c r="B293" s="369"/>
    </row>
    <row r="294" spans="1:2" ht="20.100000000000001" customHeight="1" x14ac:dyDescent="0.25">
      <c r="A294" s="396"/>
      <c r="B294" s="369"/>
    </row>
    <row r="295" spans="1:2" ht="20.100000000000001" customHeight="1" x14ac:dyDescent="0.25">
      <c r="A295" s="396"/>
      <c r="B295" s="369"/>
    </row>
    <row r="296" spans="1:2" ht="20.100000000000001" customHeight="1" x14ac:dyDescent="0.25">
      <c r="A296" s="396"/>
      <c r="B296" s="369"/>
    </row>
    <row r="297" spans="1:2" ht="20.100000000000001" customHeight="1" x14ac:dyDescent="0.25">
      <c r="A297" s="396"/>
      <c r="B297" s="369"/>
    </row>
    <row r="298" spans="1:2" ht="20.100000000000001" customHeight="1" x14ac:dyDescent="0.25">
      <c r="A298" s="396"/>
      <c r="B298" s="369"/>
    </row>
    <row r="299" spans="1:2" ht="20.100000000000001" customHeight="1" x14ac:dyDescent="0.25">
      <c r="A299" s="396"/>
      <c r="B299" s="369"/>
    </row>
    <row r="300" spans="1:2" ht="20.100000000000001" customHeight="1" x14ac:dyDescent="0.25">
      <c r="A300" s="396"/>
      <c r="B300" s="369"/>
    </row>
    <row r="301" spans="1:2" ht="20.100000000000001" customHeight="1" x14ac:dyDescent="0.25">
      <c r="A301" s="396"/>
      <c r="B301" s="369"/>
    </row>
    <row r="302" spans="1:2" ht="20.100000000000001" customHeight="1" x14ac:dyDescent="0.25">
      <c r="A302" s="396"/>
      <c r="B302" s="369"/>
    </row>
    <row r="303" spans="1:2" ht="20.100000000000001" customHeight="1" x14ac:dyDescent="0.25">
      <c r="A303" s="396"/>
      <c r="B303" s="369"/>
    </row>
    <row r="304" spans="1:2" ht="20.100000000000001" customHeight="1" x14ac:dyDescent="0.25">
      <c r="A304" s="396"/>
      <c r="B304" s="369"/>
    </row>
    <row r="305" spans="1:2" ht="20.100000000000001" customHeight="1" x14ac:dyDescent="0.25">
      <c r="A305" s="396"/>
      <c r="B305" s="369"/>
    </row>
    <row r="306" spans="1:2" ht="20.100000000000001" customHeight="1" x14ac:dyDescent="0.25">
      <c r="A306" s="396"/>
      <c r="B306" s="369"/>
    </row>
    <row r="307" spans="1:2" ht="20.100000000000001" customHeight="1" x14ac:dyDescent="0.25">
      <c r="A307" s="396"/>
      <c r="B307" s="369"/>
    </row>
    <row r="308" spans="1:2" ht="20.100000000000001" customHeight="1" x14ac:dyDescent="0.25">
      <c r="A308" s="396"/>
      <c r="B308" s="369"/>
    </row>
    <row r="309" spans="1:2" ht="20.100000000000001" customHeight="1" x14ac:dyDescent="0.25">
      <c r="A309" s="396"/>
      <c r="B309" s="369"/>
    </row>
    <row r="310" spans="1:2" ht="20.100000000000001" customHeight="1" x14ac:dyDescent="0.25">
      <c r="A310" s="396"/>
      <c r="B310" s="369"/>
    </row>
    <row r="311" spans="1:2" ht="20.100000000000001" customHeight="1" x14ac:dyDescent="0.25">
      <c r="A311" s="396"/>
      <c r="B311" s="369"/>
    </row>
    <row r="312" spans="1:2" ht="20.100000000000001" customHeight="1" x14ac:dyDescent="0.25">
      <c r="A312" s="396"/>
      <c r="B312" s="369"/>
    </row>
    <row r="313" spans="1:2" ht="20.100000000000001" customHeight="1" x14ac:dyDescent="0.25">
      <c r="A313" s="396"/>
      <c r="B313" s="369"/>
    </row>
    <row r="314" spans="1:2" ht="20.100000000000001" customHeight="1" x14ac:dyDescent="0.25">
      <c r="A314" s="396"/>
      <c r="B314" s="369"/>
    </row>
    <row r="315" spans="1:2" ht="20.100000000000001" customHeight="1" x14ac:dyDescent="0.25">
      <c r="A315" s="396"/>
      <c r="B315" s="369"/>
    </row>
    <row r="316" spans="1:2" ht="20.100000000000001" customHeight="1" x14ac:dyDescent="0.25">
      <c r="A316" s="396"/>
      <c r="B316" s="369"/>
    </row>
    <row r="317" spans="1:2" ht="20.100000000000001" customHeight="1" x14ac:dyDescent="0.25">
      <c r="A317" s="396"/>
      <c r="B317" s="369"/>
    </row>
    <row r="318" spans="1:2" ht="20.100000000000001" customHeight="1" x14ac:dyDescent="0.25">
      <c r="A318" s="396"/>
      <c r="B318" s="369"/>
    </row>
    <row r="319" spans="1:2" ht="20.100000000000001" customHeight="1" x14ac:dyDescent="0.25">
      <c r="A319" s="396"/>
      <c r="B319" s="369"/>
    </row>
    <row r="320" spans="1:2" ht="20.100000000000001" customHeight="1" x14ac:dyDescent="0.25">
      <c r="A320" s="396"/>
      <c r="B320" s="369"/>
    </row>
    <row r="321" spans="1:2" ht="20.100000000000001" customHeight="1" x14ac:dyDescent="0.25">
      <c r="A321" s="396"/>
      <c r="B321" s="369"/>
    </row>
    <row r="322" spans="1:2" ht="20.100000000000001" customHeight="1" x14ac:dyDescent="0.25">
      <c r="A322" s="396"/>
      <c r="B322" s="369"/>
    </row>
    <row r="323" spans="1:2" ht="20.100000000000001" customHeight="1" x14ac:dyDescent="0.25">
      <c r="A323" s="396"/>
      <c r="B323" s="369"/>
    </row>
    <row r="324" spans="1:2" ht="20.100000000000001" customHeight="1" x14ac:dyDescent="0.25">
      <c r="A324" s="396"/>
      <c r="B324" s="369"/>
    </row>
    <row r="325" spans="1:2" ht="20.100000000000001" customHeight="1" x14ac:dyDescent="0.25">
      <c r="A325" s="396"/>
      <c r="B325" s="369"/>
    </row>
    <row r="326" spans="1:2" ht="20.100000000000001" customHeight="1" x14ac:dyDescent="0.25">
      <c r="A326" s="396"/>
      <c r="B326" s="369"/>
    </row>
    <row r="327" spans="1:2" ht="20.100000000000001" customHeight="1" x14ac:dyDescent="0.25">
      <c r="A327" s="396"/>
      <c r="B327" s="369"/>
    </row>
    <row r="328" spans="1:2" ht="20.100000000000001" customHeight="1" x14ac:dyDescent="0.25">
      <c r="A328" s="396"/>
      <c r="B328" s="369"/>
    </row>
    <row r="329" spans="1:2" ht="20.100000000000001" customHeight="1" x14ac:dyDescent="0.25">
      <c r="A329" s="396"/>
      <c r="B329" s="369"/>
    </row>
    <row r="330" spans="1:2" ht="20.100000000000001" customHeight="1" x14ac:dyDescent="0.25">
      <c r="A330" s="396"/>
      <c r="B330" s="369"/>
    </row>
    <row r="331" spans="1:2" ht="20.100000000000001" customHeight="1" x14ac:dyDescent="0.25">
      <c r="A331" s="396"/>
      <c r="B331" s="369"/>
    </row>
    <row r="332" spans="1:2" ht="20.100000000000001" customHeight="1" x14ac:dyDescent="0.25">
      <c r="A332" s="396"/>
      <c r="B332" s="369"/>
    </row>
    <row r="333" spans="1:2" ht="20.100000000000001" customHeight="1" x14ac:dyDescent="0.25">
      <c r="A333" s="396"/>
      <c r="B333" s="369"/>
    </row>
    <row r="334" spans="1:2" ht="20.100000000000001" customHeight="1" x14ac:dyDescent="0.25">
      <c r="A334" s="396"/>
      <c r="B334" s="369"/>
    </row>
    <row r="335" spans="1:2" ht="20.100000000000001" customHeight="1" x14ac:dyDescent="0.25">
      <c r="A335" s="396"/>
      <c r="B335" s="369"/>
    </row>
    <row r="336" spans="1:2" ht="20.100000000000001" customHeight="1" x14ac:dyDescent="0.25">
      <c r="A336" s="396"/>
      <c r="B336" s="369"/>
    </row>
    <row r="337" spans="1:2" ht="20.100000000000001" customHeight="1" x14ac:dyDescent="0.25">
      <c r="A337" s="396"/>
      <c r="B337" s="369"/>
    </row>
    <row r="338" spans="1:2" ht="20.100000000000001" customHeight="1" x14ac:dyDescent="0.25">
      <c r="A338" s="396"/>
      <c r="B338" s="369"/>
    </row>
    <row r="339" spans="1:2" ht="20.100000000000001" customHeight="1" x14ac:dyDescent="0.25">
      <c r="A339" s="396"/>
      <c r="B339" s="369"/>
    </row>
    <row r="340" spans="1:2" ht="20.100000000000001" customHeight="1" x14ac:dyDescent="0.25">
      <c r="A340" s="396"/>
      <c r="B340" s="369"/>
    </row>
    <row r="341" spans="1:2" ht="20.100000000000001" customHeight="1" x14ac:dyDescent="0.25">
      <c r="A341" s="396"/>
      <c r="B341" s="369"/>
    </row>
    <row r="342" spans="1:2" ht="20.100000000000001" customHeight="1" x14ac:dyDescent="0.25">
      <c r="A342" s="396"/>
      <c r="B342" s="369"/>
    </row>
    <row r="343" spans="1:2" ht="20.100000000000001" customHeight="1" x14ac:dyDescent="0.25">
      <c r="A343" s="396"/>
      <c r="B343" s="369"/>
    </row>
    <row r="344" spans="1:2" ht="20.100000000000001" customHeight="1" x14ac:dyDescent="0.25">
      <c r="A344" s="396"/>
      <c r="B344" s="369"/>
    </row>
    <row r="345" spans="1:2" ht="20.100000000000001" customHeight="1" x14ac:dyDescent="0.25">
      <c r="A345" s="396"/>
      <c r="B345" s="369"/>
    </row>
    <row r="346" spans="1:2" ht="20.100000000000001" customHeight="1" x14ac:dyDescent="0.25">
      <c r="A346" s="396"/>
      <c r="B346" s="369"/>
    </row>
    <row r="347" spans="1:2" ht="20.100000000000001" customHeight="1" x14ac:dyDescent="0.25">
      <c r="A347" s="396"/>
      <c r="B347" s="369"/>
    </row>
    <row r="348" spans="1:2" ht="20.100000000000001" customHeight="1" x14ac:dyDescent="0.25">
      <c r="A348" s="396"/>
      <c r="B348" s="369"/>
    </row>
    <row r="349" spans="1:2" ht="20.100000000000001" customHeight="1" x14ac:dyDescent="0.25">
      <c r="A349" s="396"/>
      <c r="B349" s="369"/>
    </row>
    <row r="350" spans="1:2" ht="20.100000000000001" customHeight="1" x14ac:dyDescent="0.25">
      <c r="A350" s="396"/>
      <c r="B350" s="369"/>
    </row>
    <row r="351" spans="1:2" ht="20.100000000000001" customHeight="1" x14ac:dyDescent="0.25">
      <c r="A351" s="396"/>
      <c r="B351" s="369"/>
    </row>
    <row r="352" spans="1:2" ht="20.100000000000001" customHeight="1" x14ac:dyDescent="0.25">
      <c r="A352" s="396"/>
      <c r="B352" s="369"/>
    </row>
    <row r="353" spans="1:2" ht="20.100000000000001" customHeight="1" x14ac:dyDescent="0.25">
      <c r="A353" s="396"/>
      <c r="B353" s="369"/>
    </row>
    <row r="354" spans="1:2" ht="20.100000000000001" customHeight="1" x14ac:dyDescent="0.25">
      <c r="A354" s="396"/>
      <c r="B354" s="369"/>
    </row>
    <row r="355" spans="1:2" ht="20.100000000000001" customHeight="1" x14ac:dyDescent="0.25">
      <c r="A355" s="396"/>
      <c r="B355" s="369"/>
    </row>
    <row r="356" spans="1:2" ht="20.100000000000001" customHeight="1" x14ac:dyDescent="0.25">
      <c r="A356" s="396"/>
      <c r="B356" s="369"/>
    </row>
    <row r="357" spans="1:2" ht="20.100000000000001" customHeight="1" x14ac:dyDescent="0.25">
      <c r="A357" s="396"/>
      <c r="B357" s="369"/>
    </row>
    <row r="358" spans="1:2" ht="20.100000000000001" customHeight="1" x14ac:dyDescent="0.25">
      <c r="A358" s="396"/>
      <c r="B358" s="369"/>
    </row>
    <row r="359" spans="1:2" ht="20.100000000000001" customHeight="1" x14ac:dyDescent="0.25">
      <c r="A359" s="396"/>
      <c r="B359" s="369"/>
    </row>
    <row r="360" spans="1:2" ht="20.100000000000001" customHeight="1" x14ac:dyDescent="0.25">
      <c r="A360" s="396"/>
      <c r="B360" s="369"/>
    </row>
    <row r="361" spans="1:2" ht="20.100000000000001" customHeight="1" x14ac:dyDescent="0.25">
      <c r="A361" s="396"/>
      <c r="B361" s="369"/>
    </row>
    <row r="362" spans="1:2" ht="20.100000000000001" customHeight="1" x14ac:dyDescent="0.25">
      <c r="A362" s="396"/>
      <c r="B362" s="369"/>
    </row>
    <row r="363" spans="1:2" ht="20.100000000000001" customHeight="1" x14ac:dyDescent="0.25">
      <c r="A363" s="396"/>
      <c r="B363" s="369"/>
    </row>
    <row r="364" spans="1:2" ht="20.100000000000001" customHeight="1" x14ac:dyDescent="0.25">
      <c r="A364" s="396"/>
      <c r="B364" s="369"/>
    </row>
    <row r="365" spans="1:2" ht="20.100000000000001" customHeight="1" x14ac:dyDescent="0.25">
      <c r="A365" s="396"/>
      <c r="B365" s="369"/>
    </row>
    <row r="366" spans="1:2" ht="20.100000000000001" customHeight="1" x14ac:dyDescent="0.25">
      <c r="A366" s="396"/>
      <c r="B366" s="369"/>
    </row>
  </sheetData>
  <mergeCells count="8">
    <mergeCell ref="A95:A96"/>
    <mergeCell ref="A1:B1"/>
    <mergeCell ref="A2:B2"/>
    <mergeCell ref="A3:B3"/>
    <mergeCell ref="A23:A24"/>
    <mergeCell ref="A43:A44"/>
    <mergeCell ref="A5:A6"/>
    <mergeCell ref="A12:A13"/>
  </mergeCells>
  <pageMargins left="0.70866141732283472" right="0.70866141732283472" top="0.74803149606299213" bottom="1.3385826771653544" header="0.31496062992125984" footer="0.31496062992125984"/>
  <pageSetup firstPageNumber="0" fitToWidth="0" fitToHeight="0" orientation="landscape" horizontalDpi="300" verticalDpi="300" r:id="rId1"/>
  <headerFooter alignWithMargins="0">
    <oddFooter>&amp;C&amp;"Times New Roman,Normal"Página &amp;P</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tabColor rgb="FF00B0F0"/>
  </sheetPr>
  <dimension ref="A1:L110"/>
  <sheetViews>
    <sheetView showGridLines="0" topLeftCell="A19" zoomScale="110" zoomScaleNormal="110" workbookViewId="0">
      <selection activeCell="C99" sqref="C99"/>
    </sheetView>
  </sheetViews>
  <sheetFormatPr baseColWidth="10" defaultRowHeight="20.100000000000001" customHeight="1" x14ac:dyDescent="0.25"/>
  <cols>
    <col min="1" max="1" width="33" style="360" customWidth="1"/>
    <col min="2" max="2" width="1.6640625" style="346" customWidth="1"/>
    <col min="3" max="3" width="15.6640625" style="360" customWidth="1"/>
    <col min="4" max="4" width="8.33203125" style="360" customWidth="1"/>
    <col min="5" max="5" width="3.6640625" style="360" customWidth="1"/>
    <col min="6" max="6" width="12.77734375" style="372" hidden="1" customWidth="1"/>
    <col min="7" max="7" width="9.6640625" style="360" hidden="1" customWidth="1"/>
    <col min="8" max="8" width="1.77734375" style="360" hidden="1" customWidth="1"/>
    <col min="9" max="9" width="13.21875" style="360" hidden="1" customWidth="1"/>
    <col min="10" max="10" width="8.33203125" style="360" hidden="1" customWidth="1"/>
    <col min="11" max="11" width="0" style="360" hidden="1" customWidth="1"/>
    <col min="12" max="16384" width="11.5546875" style="360"/>
  </cols>
  <sheetData>
    <row r="1" spans="1:12" ht="15.75" customHeight="1" x14ac:dyDescent="0.25">
      <c r="A1" s="346"/>
      <c r="C1" s="346"/>
      <c r="D1" s="346"/>
      <c r="E1" s="346"/>
      <c r="F1" s="346"/>
      <c r="G1" s="346"/>
      <c r="H1" s="346"/>
      <c r="I1" s="346"/>
      <c r="J1" s="346"/>
    </row>
    <row r="2" spans="1:12" ht="14.25" x14ac:dyDescent="0.25">
      <c r="A2" s="1323" t="s">
        <v>1221</v>
      </c>
      <c r="B2" s="1323"/>
      <c r="C2" s="1323"/>
      <c r="D2" s="1323"/>
      <c r="E2" s="346"/>
      <c r="F2" s="346"/>
      <c r="G2" s="346"/>
      <c r="H2" s="346"/>
      <c r="I2" s="346"/>
      <c r="J2" s="346"/>
    </row>
    <row r="3" spans="1:12" ht="14.25" x14ac:dyDescent="0.25">
      <c r="A3" s="1323" t="s">
        <v>1222</v>
      </c>
      <c r="B3" s="1323"/>
      <c r="C3" s="1323"/>
      <c r="D3" s="1323"/>
      <c r="E3" s="352"/>
      <c r="F3" s="373"/>
      <c r="G3" s="352"/>
      <c r="H3" s="352"/>
      <c r="I3" s="352"/>
      <c r="J3" s="352"/>
    </row>
    <row r="4" spans="1:12" ht="14.25" x14ac:dyDescent="0.25">
      <c r="A4" s="1181"/>
      <c r="B4" s="1181"/>
      <c r="C4" s="1181"/>
      <c r="D4" s="1181"/>
      <c r="E4" s="352"/>
      <c r="F4" s="373"/>
      <c r="G4" s="352"/>
      <c r="H4" s="352"/>
      <c r="I4" s="352"/>
      <c r="J4" s="352"/>
    </row>
    <row r="5" spans="1:12" ht="14.25" x14ac:dyDescent="0.25">
      <c r="A5" s="1200" t="s">
        <v>218</v>
      </c>
      <c r="C5" s="350"/>
      <c r="D5" s="357"/>
      <c r="E5" s="357"/>
      <c r="F5" s="350"/>
      <c r="G5" s="357"/>
      <c r="H5" s="357"/>
      <c r="I5" s="356"/>
      <c r="J5" s="356"/>
    </row>
    <row r="6" spans="1:12" ht="14.25" x14ac:dyDescent="0.25">
      <c r="A6" s="1200"/>
      <c r="C6" s="383">
        <v>2016</v>
      </c>
      <c r="D6" s="384" t="s">
        <v>400</v>
      </c>
      <c r="E6" s="356"/>
      <c r="F6" s="383">
        <v>2014</v>
      </c>
      <c r="G6" s="384" t="s">
        <v>400</v>
      </c>
      <c r="H6" s="356"/>
      <c r="I6" s="383" t="s">
        <v>392</v>
      </c>
      <c r="J6" s="384" t="s">
        <v>393</v>
      </c>
    </row>
    <row r="7" spans="1:12" ht="14.25" x14ac:dyDescent="0.25">
      <c r="A7" s="361" t="s">
        <v>387</v>
      </c>
      <c r="C7" s="325">
        <v>2853286762</v>
      </c>
      <c r="D7" s="362">
        <f>+C7/$C$9</f>
        <v>0.99233826893984911</v>
      </c>
      <c r="E7" s="356"/>
      <c r="F7" s="393">
        <v>2233564560</v>
      </c>
      <c r="G7" s="362">
        <f>+F7/$F$9</f>
        <v>1</v>
      </c>
      <c r="H7" s="356"/>
      <c r="I7" s="364">
        <f>C7-F7</f>
        <v>619722202</v>
      </c>
      <c r="J7" s="548">
        <f>I7/F7</f>
        <v>0.27745882662106708</v>
      </c>
    </row>
    <row r="8" spans="1:12" ht="14.25" x14ac:dyDescent="0.25">
      <c r="A8" s="369" t="s">
        <v>649</v>
      </c>
      <c r="C8" s="325">
        <v>22029903</v>
      </c>
      <c r="D8" s="362"/>
      <c r="E8" s="356"/>
      <c r="F8" s="393">
        <v>0</v>
      </c>
      <c r="G8" s="362"/>
      <c r="H8" s="356"/>
      <c r="I8" s="364">
        <f>C8-F8</f>
        <v>22029903</v>
      </c>
      <c r="J8" s="365">
        <v>0</v>
      </c>
    </row>
    <row r="9" spans="1:12" ht="14.25" x14ac:dyDescent="0.25">
      <c r="A9" s="321" t="s">
        <v>401</v>
      </c>
      <c r="C9" s="313">
        <f>SUM(C7:C8)</f>
        <v>2875316665</v>
      </c>
      <c r="D9" s="366">
        <f>+C9/C9</f>
        <v>1</v>
      </c>
      <c r="E9" s="356"/>
      <c r="F9" s="313">
        <f>SUM(F7:F8)</f>
        <v>2233564560</v>
      </c>
      <c r="G9" s="366">
        <f>+F9/F9</f>
        <v>1</v>
      </c>
      <c r="H9" s="356"/>
      <c r="I9" s="313">
        <f>C9-F9</f>
        <v>641752105</v>
      </c>
      <c r="J9" s="545">
        <f>IF(F9&lt;&gt;0,I9/F9,0)</f>
        <v>0.28732194112177351</v>
      </c>
    </row>
    <row r="10" spans="1:12" ht="14.25" x14ac:dyDescent="0.25">
      <c r="A10" s="296"/>
      <c r="C10" s="298"/>
      <c r="D10" s="374"/>
      <c r="E10" s="356"/>
      <c r="F10" s="298"/>
      <c r="G10" s="374"/>
      <c r="H10" s="356"/>
      <c r="I10" s="298"/>
      <c r="J10" s="304"/>
    </row>
    <row r="11" spans="1:12" ht="14.25" x14ac:dyDescent="0.25">
      <c r="A11" s="1200" t="s">
        <v>222</v>
      </c>
      <c r="C11" s="294"/>
      <c r="D11" s="308"/>
      <c r="E11" s="356"/>
      <c r="F11" s="294"/>
      <c r="G11" s="308"/>
      <c r="H11" s="356"/>
      <c r="I11" s="332"/>
      <c r="J11" s="332"/>
    </row>
    <row r="12" spans="1:12" ht="14.25" x14ac:dyDescent="0.25">
      <c r="A12" s="1200"/>
      <c r="C12" s="383">
        <f>C6</f>
        <v>2016</v>
      </c>
      <c r="D12" s="384" t="s">
        <v>400</v>
      </c>
      <c r="E12" s="356"/>
      <c r="F12" s="383">
        <f>F6</f>
        <v>2014</v>
      </c>
      <c r="G12" s="384" t="s">
        <v>400</v>
      </c>
      <c r="H12" s="356"/>
      <c r="I12" s="383" t="s">
        <v>392</v>
      </c>
      <c r="J12" s="384" t="s">
        <v>393</v>
      </c>
    </row>
    <row r="13" spans="1:12" ht="14.25" x14ac:dyDescent="0.25">
      <c r="A13" s="369" t="s">
        <v>55</v>
      </c>
      <c r="C13" s="325">
        <v>99566564</v>
      </c>
      <c r="D13" s="317">
        <f>+C13/$C$9</f>
        <v>3.4628034265575404E-2</v>
      </c>
      <c r="E13" s="356"/>
      <c r="F13" s="512">
        <v>165026255</v>
      </c>
      <c r="G13" s="317">
        <f>+F13/$F$9</f>
        <v>7.3884703381934036E-2</v>
      </c>
      <c r="H13" s="356"/>
      <c r="I13" s="364">
        <f>C13-F13</f>
        <v>-65459691</v>
      </c>
      <c r="J13" s="365">
        <f>I13/F13</f>
        <v>-0.39666228261678727</v>
      </c>
    </row>
    <row r="14" spans="1:12" ht="14.25" x14ac:dyDescent="0.25">
      <c r="A14" s="369" t="s">
        <v>648</v>
      </c>
      <c r="C14" s="325">
        <v>521635923</v>
      </c>
      <c r="D14" s="317">
        <f>+C14/$C$9</f>
        <v>0.18141859967969823</v>
      </c>
      <c r="E14" s="356"/>
      <c r="F14" s="512">
        <v>313321691</v>
      </c>
      <c r="G14" s="317">
        <f>+F14/$F$9</f>
        <v>0.1402787708092933</v>
      </c>
      <c r="H14" s="356"/>
      <c r="I14" s="364">
        <f>C14-F14</f>
        <v>208314232</v>
      </c>
      <c r="J14" s="365">
        <f>I14/F14</f>
        <v>0.66485735901380671</v>
      </c>
    </row>
    <row r="15" spans="1:12" ht="14.25" x14ac:dyDescent="0.25">
      <c r="A15" s="369" t="s">
        <v>54</v>
      </c>
      <c r="C15" s="325">
        <v>532172121</v>
      </c>
      <c r="D15" s="317">
        <f>+C15/$C$9</f>
        <v>0.18508296059279439</v>
      </c>
      <c r="E15" s="356"/>
      <c r="F15" s="513">
        <v>234114843</v>
      </c>
      <c r="G15" s="317">
        <f>+F15/$F$9</f>
        <v>0.10481668951624125</v>
      </c>
      <c r="H15" s="356"/>
      <c r="I15" s="364">
        <f>C15-F15</f>
        <v>298057278</v>
      </c>
      <c r="J15" s="365">
        <f>I15/F15</f>
        <v>1.2731242247634851</v>
      </c>
      <c r="L15" s="630">
        <f>I15</f>
        <v>298057278</v>
      </c>
    </row>
    <row r="16" spans="1:12" ht="14.25" x14ac:dyDescent="0.25">
      <c r="A16" s="321" t="s">
        <v>402</v>
      </c>
      <c r="C16" s="313">
        <f>SUM(C13:C15)</f>
        <v>1153374608</v>
      </c>
      <c r="D16" s="314">
        <f>+C16/$C$9</f>
        <v>0.40112959453806801</v>
      </c>
      <c r="E16" s="356"/>
      <c r="F16" s="313">
        <f>SUM(F13:F15)</f>
        <v>712462789</v>
      </c>
      <c r="G16" s="314">
        <f>+F16/$F$9</f>
        <v>0.31898016370746857</v>
      </c>
      <c r="H16" s="356"/>
      <c r="I16" s="313">
        <f>C16-F16</f>
        <v>440911819</v>
      </c>
      <c r="J16" s="326">
        <f>I16/F16</f>
        <v>0.61885592596191008</v>
      </c>
    </row>
    <row r="17" spans="1:10" ht="14.25" x14ac:dyDescent="0.25">
      <c r="A17" s="321" t="s">
        <v>397</v>
      </c>
      <c r="C17" s="313">
        <f>+C9-C16</f>
        <v>1721942057</v>
      </c>
      <c r="D17" s="314">
        <f>+C17/$C$9</f>
        <v>0.59887040546193193</v>
      </c>
      <c r="E17" s="356"/>
      <c r="F17" s="313">
        <f>+F9-F16</f>
        <v>1521101771</v>
      </c>
      <c r="G17" s="314">
        <f>+F17/$F$9</f>
        <v>0.68101983629253138</v>
      </c>
      <c r="H17" s="356"/>
      <c r="I17" s="313">
        <f>C17-F17</f>
        <v>200840286</v>
      </c>
      <c r="J17" s="316">
        <f>I17/F17</f>
        <v>0.13203606085341937</v>
      </c>
    </row>
    <row r="18" spans="1:10" ht="14.25" x14ac:dyDescent="0.25">
      <c r="A18" s="296"/>
      <c r="C18" s="298"/>
      <c r="D18" s="297"/>
      <c r="E18" s="356"/>
      <c r="F18" s="298"/>
      <c r="G18" s="297"/>
      <c r="H18" s="356"/>
      <c r="I18" s="298"/>
      <c r="J18" s="299"/>
    </row>
    <row r="19" spans="1:10" ht="14.25" x14ac:dyDescent="0.25">
      <c r="A19" s="1200" t="s">
        <v>224</v>
      </c>
      <c r="C19" s="350"/>
      <c r="D19" s="357"/>
      <c r="E19" s="356"/>
      <c r="F19" s="350"/>
      <c r="G19" s="357"/>
      <c r="H19" s="356"/>
      <c r="I19" s="356"/>
      <c r="J19" s="356"/>
    </row>
    <row r="20" spans="1:10" ht="14.25" x14ac:dyDescent="0.25">
      <c r="A20" s="1200"/>
      <c r="C20" s="383">
        <f>C6</f>
        <v>2016</v>
      </c>
      <c r="D20" s="384" t="s">
        <v>400</v>
      </c>
      <c r="E20" s="356"/>
      <c r="F20" s="383">
        <f>F6</f>
        <v>2014</v>
      </c>
      <c r="G20" s="384" t="s">
        <v>400</v>
      </c>
      <c r="H20" s="356"/>
      <c r="I20" s="383" t="s">
        <v>392</v>
      </c>
      <c r="J20" s="384" t="s">
        <v>393</v>
      </c>
    </row>
    <row r="21" spans="1:10" ht="14.25" hidden="1" x14ac:dyDescent="0.25">
      <c r="A21" s="361" t="s">
        <v>60</v>
      </c>
      <c r="C21" s="364">
        <v>296875745</v>
      </c>
      <c r="D21" s="367">
        <f t="shared" ref="D21:D35" si="0">+C21/$C$9</f>
        <v>0.10324975631857926</v>
      </c>
      <c r="E21" s="356"/>
      <c r="F21" s="496">
        <v>281870683</v>
      </c>
      <c r="G21" s="367">
        <f t="shared" ref="G21:G36" si="1">+F21/$F$9</f>
        <v>0.12619768778924392</v>
      </c>
      <c r="H21" s="356"/>
      <c r="I21" s="364">
        <f t="shared" ref="I21:I37" si="2">C21-F21</f>
        <v>15005062</v>
      </c>
      <c r="J21" s="365">
        <f t="shared" ref="J21:J27" si="3">I21/F21</f>
        <v>5.3233851212543447E-2</v>
      </c>
    </row>
    <row r="22" spans="1:10" ht="14.25" hidden="1" x14ac:dyDescent="0.25">
      <c r="A22" s="361" t="s">
        <v>61</v>
      </c>
      <c r="C22" s="364">
        <v>6240000</v>
      </c>
      <c r="D22" s="367">
        <f t="shared" si="0"/>
        <v>2.1701957478133978E-3</v>
      </c>
      <c r="E22" s="356"/>
      <c r="F22" s="496">
        <v>3384000</v>
      </c>
      <c r="G22" s="367">
        <f t="shared" si="1"/>
        <v>1.5150670191507694E-3</v>
      </c>
      <c r="H22" s="356"/>
      <c r="I22" s="364">
        <f t="shared" si="2"/>
        <v>2856000</v>
      </c>
      <c r="J22" s="365">
        <f t="shared" si="3"/>
        <v>0.84397163120567376</v>
      </c>
    </row>
    <row r="23" spans="1:10" ht="14.25" hidden="1" x14ac:dyDescent="0.25">
      <c r="A23" s="361" t="s">
        <v>62</v>
      </c>
      <c r="C23" s="364">
        <v>25160545</v>
      </c>
      <c r="D23" s="367">
        <f t="shared" si="0"/>
        <v>8.7505300916134055E-3</v>
      </c>
      <c r="E23" s="356"/>
      <c r="F23" s="496">
        <v>24315495</v>
      </c>
      <c r="G23" s="367">
        <f t="shared" si="1"/>
        <v>1.0886407957690733E-2</v>
      </c>
      <c r="H23" s="356"/>
      <c r="I23" s="364">
        <f t="shared" si="2"/>
        <v>845050</v>
      </c>
      <c r="J23" s="365">
        <f t="shared" si="3"/>
        <v>3.4753559407283301E-2</v>
      </c>
    </row>
    <row r="24" spans="1:10" ht="14.25" hidden="1" x14ac:dyDescent="0.25">
      <c r="A24" s="361" t="s">
        <v>63</v>
      </c>
      <c r="C24" s="364">
        <v>3025236</v>
      </c>
      <c r="D24" s="367">
        <f t="shared" si="0"/>
        <v>1.0521401127134636E-3</v>
      </c>
      <c r="E24" s="356"/>
      <c r="F24" s="496">
        <v>2995456</v>
      </c>
      <c r="G24" s="367">
        <f t="shared" si="1"/>
        <v>1.3411101042899785E-3</v>
      </c>
      <c r="H24" s="356"/>
      <c r="I24" s="364">
        <f t="shared" si="2"/>
        <v>29780</v>
      </c>
      <c r="J24" s="365">
        <f t="shared" si="3"/>
        <v>9.9417250662336559E-3</v>
      </c>
    </row>
    <row r="25" spans="1:10" ht="14.25" hidden="1" x14ac:dyDescent="0.25">
      <c r="A25" s="361" t="s">
        <v>64</v>
      </c>
      <c r="C25" s="364">
        <v>26916782</v>
      </c>
      <c r="D25" s="367">
        <f t="shared" si="0"/>
        <v>9.3613278591699045E-3</v>
      </c>
      <c r="E25" s="356"/>
      <c r="F25" s="496">
        <v>25887890</v>
      </c>
      <c r="G25" s="367">
        <f t="shared" si="1"/>
        <v>1.1590392533807036E-2</v>
      </c>
      <c r="H25" s="356"/>
      <c r="I25" s="364">
        <f t="shared" si="2"/>
        <v>1028892</v>
      </c>
      <c r="J25" s="365">
        <f t="shared" si="3"/>
        <v>3.9744142917788973E-2</v>
      </c>
    </row>
    <row r="26" spans="1:10" ht="14.25" hidden="1" x14ac:dyDescent="0.25">
      <c r="A26" s="361" t="s">
        <v>65</v>
      </c>
      <c r="C26" s="364">
        <v>13708623</v>
      </c>
      <c r="D26" s="367">
        <f t="shared" si="0"/>
        <v>4.7676915613745104E-3</v>
      </c>
      <c r="E26" s="356"/>
      <c r="F26" s="496">
        <v>12861033</v>
      </c>
      <c r="G26" s="367">
        <f t="shared" si="1"/>
        <v>5.7580753340749644E-3</v>
      </c>
      <c r="H26" s="356"/>
      <c r="I26" s="364">
        <f t="shared" si="2"/>
        <v>847590</v>
      </c>
      <c r="J26" s="365">
        <f t="shared" si="3"/>
        <v>6.5903726395850168E-2</v>
      </c>
    </row>
    <row r="27" spans="1:10" ht="14.25" hidden="1" x14ac:dyDescent="0.25">
      <c r="A27" s="361" t="s">
        <v>66</v>
      </c>
      <c r="C27" s="364">
        <v>64681044</v>
      </c>
      <c r="D27" s="367">
        <f t="shared" si="0"/>
        <v>2.2495276707200525E-2</v>
      </c>
      <c r="E27" s="356"/>
      <c r="F27" s="496">
        <v>61687544</v>
      </c>
      <c r="G27" s="367">
        <f t="shared" si="1"/>
        <v>2.7618428902722203E-2</v>
      </c>
      <c r="H27" s="356"/>
      <c r="I27" s="364">
        <f t="shared" si="2"/>
        <v>2993500</v>
      </c>
      <c r="J27" s="365">
        <f t="shared" si="3"/>
        <v>4.8526814424643003E-2</v>
      </c>
    </row>
    <row r="28" spans="1:10" ht="14.25" hidden="1" x14ac:dyDescent="0.25">
      <c r="A28" s="361" t="s">
        <v>67</v>
      </c>
      <c r="C28" s="364">
        <v>28290302</v>
      </c>
      <c r="D28" s="367">
        <f t="shared" si="0"/>
        <v>9.8390213308905232E-3</v>
      </c>
      <c r="E28" s="356"/>
      <c r="F28" s="496">
        <v>26905890</v>
      </c>
      <c r="G28" s="367">
        <f t="shared" si="1"/>
        <v>1.2046166241104756E-2</v>
      </c>
      <c r="H28" s="356"/>
      <c r="I28" s="364">
        <f t="shared" si="2"/>
        <v>1384412</v>
      </c>
      <c r="J28" s="365">
        <v>0</v>
      </c>
    </row>
    <row r="29" spans="1:10" ht="14.25" hidden="1" x14ac:dyDescent="0.25">
      <c r="A29" s="361" t="s">
        <v>68</v>
      </c>
      <c r="C29" s="364">
        <v>9540000</v>
      </c>
      <c r="D29" s="367">
        <f t="shared" si="0"/>
        <v>3.3178954221377908E-3</v>
      </c>
      <c r="E29" s="356"/>
      <c r="F29" s="496">
        <v>9240012</v>
      </c>
      <c r="G29" s="367">
        <f t="shared" si="1"/>
        <v>4.1368904957911762E-3</v>
      </c>
      <c r="H29" s="356"/>
      <c r="I29" s="364">
        <f t="shared" si="2"/>
        <v>299988</v>
      </c>
      <c r="J29" s="365">
        <v>0</v>
      </c>
    </row>
    <row r="30" spans="1:10" ht="14.25" hidden="1" x14ac:dyDescent="0.25">
      <c r="A30" s="361" t="s">
        <v>90</v>
      </c>
      <c r="C30" s="364">
        <v>0</v>
      </c>
      <c r="D30" s="367">
        <f t="shared" si="0"/>
        <v>0</v>
      </c>
      <c r="E30" s="356"/>
      <c r="F30" s="496">
        <v>11418167</v>
      </c>
      <c r="G30" s="367">
        <f t="shared" si="1"/>
        <v>5.1120828134916321E-3</v>
      </c>
      <c r="H30" s="356"/>
      <c r="I30" s="364">
        <f t="shared" si="2"/>
        <v>-11418167</v>
      </c>
      <c r="J30" s="365">
        <v>0</v>
      </c>
    </row>
    <row r="31" spans="1:10" ht="14.25" hidden="1" x14ac:dyDescent="0.25">
      <c r="A31" s="361" t="s">
        <v>69</v>
      </c>
      <c r="C31" s="364">
        <v>15797147</v>
      </c>
      <c r="D31" s="367">
        <f t="shared" si="0"/>
        <v>5.4940546870165339E-3</v>
      </c>
      <c r="E31" s="356"/>
      <c r="F31" s="496">
        <v>14654303</v>
      </c>
      <c r="G31" s="367">
        <f t="shared" si="1"/>
        <v>6.5609489255148284E-3</v>
      </c>
      <c r="H31" s="356"/>
      <c r="I31" s="364">
        <f t="shared" si="2"/>
        <v>1142844</v>
      </c>
      <c r="J31" s="365">
        <f>I31/F31</f>
        <v>7.7986923021859181E-2</v>
      </c>
    </row>
    <row r="32" spans="1:10" ht="14.25" hidden="1" x14ac:dyDescent="0.25">
      <c r="A32" s="361" t="s">
        <v>225</v>
      </c>
      <c r="C32" s="364">
        <v>25184108</v>
      </c>
      <c r="D32" s="367">
        <f t="shared" si="0"/>
        <v>8.7587250150758609E-3</v>
      </c>
      <c r="E32" s="356"/>
      <c r="F32" s="496">
        <v>24057768</v>
      </c>
      <c r="G32" s="367">
        <f t="shared" si="1"/>
        <v>1.077101975507706E-2</v>
      </c>
      <c r="H32" s="356"/>
      <c r="I32" s="364">
        <f t="shared" si="2"/>
        <v>1126340</v>
      </c>
      <c r="J32" s="365">
        <f>I32/F32</f>
        <v>4.6818142065381957E-2</v>
      </c>
    </row>
    <row r="33" spans="1:10" ht="14.25" hidden="1" x14ac:dyDescent="0.25">
      <c r="A33" s="361" t="s">
        <v>226</v>
      </c>
      <c r="C33" s="364">
        <v>35554035</v>
      </c>
      <c r="D33" s="367">
        <f t="shared" si="0"/>
        <v>1.2365258906187294E-2</v>
      </c>
      <c r="E33" s="356"/>
      <c r="F33" s="496">
        <v>34009105</v>
      </c>
      <c r="G33" s="367">
        <f t="shared" si="1"/>
        <v>1.5226381009555416E-2</v>
      </c>
      <c r="H33" s="356"/>
      <c r="I33" s="364">
        <f t="shared" si="2"/>
        <v>1544930</v>
      </c>
      <c r="J33" s="365">
        <f>I33/F33</f>
        <v>4.5426952576376238E-2</v>
      </c>
    </row>
    <row r="34" spans="1:10" ht="14.25" hidden="1" x14ac:dyDescent="0.25">
      <c r="A34" s="361" t="s">
        <v>227</v>
      </c>
      <c r="C34" s="364">
        <v>5156971</v>
      </c>
      <c r="D34" s="367">
        <f t="shared" si="0"/>
        <v>1.7935314961213149E-3</v>
      </c>
      <c r="E34" s="356"/>
      <c r="F34" s="526">
        <v>3983548</v>
      </c>
      <c r="G34" s="367">
        <f t="shared" si="1"/>
        <v>1.7834935561477569E-3</v>
      </c>
      <c r="H34" s="356"/>
      <c r="I34" s="364">
        <f t="shared" si="2"/>
        <v>1173423</v>
      </c>
      <c r="J34" s="365">
        <f>I34/F34</f>
        <v>0.29456730532680919</v>
      </c>
    </row>
    <row r="35" spans="1:10" ht="14.25" hidden="1" x14ac:dyDescent="0.25">
      <c r="A35" s="361" t="s">
        <v>647</v>
      </c>
      <c r="C35" s="364">
        <v>26651181</v>
      </c>
      <c r="D35" s="367">
        <f t="shared" si="0"/>
        <v>9.2689550769880155E-3</v>
      </c>
      <c r="E35" s="356"/>
      <c r="F35" s="527">
        <v>25582780</v>
      </c>
      <c r="G35" s="367">
        <f t="shared" si="1"/>
        <v>1.1453790258921372E-2</v>
      </c>
      <c r="H35" s="356"/>
      <c r="I35" s="364">
        <f t="shared" si="2"/>
        <v>1068401</v>
      </c>
      <c r="J35" s="365">
        <f>I35/F35</f>
        <v>4.1762505873091195E-2</v>
      </c>
    </row>
    <row r="36" spans="1:10" ht="14.25" hidden="1" x14ac:dyDescent="0.25">
      <c r="A36" s="361" t="s">
        <v>997</v>
      </c>
      <c r="C36" s="364">
        <v>0</v>
      </c>
      <c r="D36" s="367"/>
      <c r="E36" s="356"/>
      <c r="F36" s="527">
        <v>0</v>
      </c>
      <c r="G36" s="367">
        <f t="shared" si="1"/>
        <v>0</v>
      </c>
      <c r="H36" s="356"/>
      <c r="I36" s="364">
        <f t="shared" si="2"/>
        <v>0</v>
      </c>
      <c r="J36" s="365">
        <v>0</v>
      </c>
    </row>
    <row r="37" spans="1:10" ht="14.25" x14ac:dyDescent="0.25">
      <c r="A37" s="342" t="s">
        <v>403</v>
      </c>
      <c r="B37" s="348"/>
      <c r="C37" s="318">
        <v>651184360</v>
      </c>
      <c r="D37" s="371">
        <f>C37/$C$9</f>
        <v>0.22647396299913283</v>
      </c>
      <c r="E37" s="356"/>
      <c r="F37" s="313">
        <f>SUM(F21:F36)</f>
        <v>562853674</v>
      </c>
      <c r="G37" s="366">
        <f>F37/F9</f>
        <v>0.2519979426965836</v>
      </c>
      <c r="H37" s="356"/>
      <c r="I37" s="313">
        <f t="shared" si="2"/>
        <v>88330686</v>
      </c>
      <c r="J37" s="326">
        <f>I37/F37</f>
        <v>0.15693365803631584</v>
      </c>
    </row>
    <row r="38" spans="1:10" ht="14.25" x14ac:dyDescent="0.25">
      <c r="A38" s="296"/>
      <c r="C38" s="298"/>
      <c r="D38" s="374"/>
      <c r="E38" s="356"/>
      <c r="F38" s="298"/>
      <c r="G38" s="374"/>
      <c r="H38" s="356"/>
      <c r="I38" s="298"/>
      <c r="J38" s="304"/>
    </row>
    <row r="39" spans="1:10" ht="14.25" x14ac:dyDescent="0.25">
      <c r="A39" s="1200" t="s">
        <v>229</v>
      </c>
      <c r="C39" s="294"/>
      <c r="D39" s="308"/>
      <c r="E39" s="356"/>
      <c r="F39" s="294"/>
      <c r="G39" s="308"/>
      <c r="H39" s="356"/>
      <c r="I39" s="332"/>
      <c r="J39" s="332"/>
    </row>
    <row r="40" spans="1:10" ht="14.25" x14ac:dyDescent="0.25">
      <c r="A40" s="1200"/>
      <c r="C40" s="383">
        <f>C6</f>
        <v>2016</v>
      </c>
      <c r="D40" s="384" t="s">
        <v>400</v>
      </c>
      <c r="E40" s="356"/>
      <c r="F40" s="383">
        <f>F6</f>
        <v>2014</v>
      </c>
      <c r="G40" s="384" t="s">
        <v>400</v>
      </c>
      <c r="H40" s="356"/>
      <c r="I40" s="383" t="s">
        <v>392</v>
      </c>
      <c r="J40" s="384" t="s">
        <v>393</v>
      </c>
    </row>
    <row r="41" spans="1:10" ht="14.25" hidden="1" x14ac:dyDescent="0.25">
      <c r="A41" s="368" t="s">
        <v>230</v>
      </c>
      <c r="C41" s="325">
        <v>8220000</v>
      </c>
      <c r="D41" s="317">
        <f t="shared" ref="D41:D66" si="4">+C41/$C$9</f>
        <v>2.8588155524080336E-3</v>
      </c>
      <c r="E41" s="356"/>
      <c r="F41" s="497">
        <v>8080000</v>
      </c>
      <c r="G41" s="317">
        <f t="shared" ref="G41:G87" si="5">+F41/$F$9</f>
        <v>3.6175359086105842E-3</v>
      </c>
      <c r="H41" s="356"/>
      <c r="I41" s="364">
        <f t="shared" ref="I41:I87" si="6">C41-F41</f>
        <v>140000</v>
      </c>
      <c r="J41" s="365">
        <f>I41/F41</f>
        <v>1.7326732673267328E-2</v>
      </c>
    </row>
    <row r="42" spans="1:10" ht="14.25" hidden="1" x14ac:dyDescent="0.25">
      <c r="A42" s="368" t="s">
        <v>231</v>
      </c>
      <c r="C42" s="325">
        <v>19587475</v>
      </c>
      <c r="D42" s="317">
        <f t="shared" si="4"/>
        <v>6.8122844479809666E-3</v>
      </c>
      <c r="E42" s="356"/>
      <c r="F42" s="497">
        <v>14584000</v>
      </c>
      <c r="G42" s="317">
        <f t="shared" si="5"/>
        <v>6.5294732291060345E-3</v>
      </c>
      <c r="H42" s="356"/>
      <c r="I42" s="364">
        <f t="shared" si="6"/>
        <v>5003475</v>
      </c>
      <c r="J42" s="365">
        <f>I42/F42</f>
        <v>0.34307974492594623</v>
      </c>
    </row>
    <row r="43" spans="1:10" ht="14.25" hidden="1" x14ac:dyDescent="0.25">
      <c r="A43" s="368" t="s">
        <v>73</v>
      </c>
      <c r="C43" s="325">
        <v>4639361</v>
      </c>
      <c r="D43" s="317">
        <f t="shared" si="4"/>
        <v>1.6135130632646336E-3</v>
      </c>
      <c r="E43" s="356"/>
      <c r="F43" s="497">
        <v>3950000</v>
      </c>
      <c r="G43" s="317">
        <f t="shared" si="5"/>
        <v>1.7684736186895803E-3</v>
      </c>
      <c r="H43" s="356"/>
      <c r="I43" s="364">
        <f t="shared" si="6"/>
        <v>689361</v>
      </c>
      <c r="J43" s="365">
        <f>I43/F43</f>
        <v>0.17452177215189874</v>
      </c>
    </row>
    <row r="44" spans="1:10" ht="14.25" hidden="1" x14ac:dyDescent="0.25">
      <c r="A44" s="368" t="s">
        <v>643</v>
      </c>
      <c r="C44" s="325">
        <v>4516356</v>
      </c>
      <c r="D44" s="317">
        <f t="shared" si="4"/>
        <v>1.5707334273736421E-3</v>
      </c>
      <c r="E44" s="356"/>
      <c r="F44" s="497">
        <v>3645417</v>
      </c>
      <c r="G44" s="317">
        <f t="shared" si="5"/>
        <v>1.632107289524687E-3</v>
      </c>
      <c r="H44" s="356"/>
      <c r="I44" s="364">
        <f t="shared" si="6"/>
        <v>870939</v>
      </c>
      <c r="J44" s="365">
        <v>0</v>
      </c>
    </row>
    <row r="45" spans="1:10" ht="14.25" hidden="1" x14ac:dyDescent="0.25">
      <c r="A45" s="368" t="s">
        <v>493</v>
      </c>
      <c r="C45" s="325">
        <v>6408813</v>
      </c>
      <c r="D45" s="317">
        <f t="shared" si="4"/>
        <v>2.2289068463351323E-3</v>
      </c>
      <c r="E45" s="356"/>
      <c r="F45" s="497">
        <v>4974224</v>
      </c>
      <c r="G45" s="317">
        <f t="shared" si="5"/>
        <v>2.2270339031525465E-3</v>
      </c>
      <c r="H45" s="356"/>
      <c r="I45" s="364">
        <f t="shared" si="6"/>
        <v>1434589</v>
      </c>
      <c r="J45" s="365">
        <f>I45/F45</f>
        <v>0.28840458330786872</v>
      </c>
    </row>
    <row r="46" spans="1:10" ht="14.25" hidden="1" x14ac:dyDescent="0.25">
      <c r="A46" s="368" t="s">
        <v>1456</v>
      </c>
      <c r="C46" s="325">
        <v>17613520</v>
      </c>
      <c r="D46" s="317">
        <f t="shared" si="4"/>
        <v>6.1257670205170254E-3</v>
      </c>
      <c r="E46" s="356"/>
      <c r="F46" s="497">
        <v>0</v>
      </c>
      <c r="G46" s="317">
        <f t="shared" si="5"/>
        <v>0</v>
      </c>
      <c r="H46" s="356"/>
      <c r="I46" s="364">
        <f t="shared" si="6"/>
        <v>17613520</v>
      </c>
      <c r="J46" s="365">
        <v>0</v>
      </c>
    </row>
    <row r="47" spans="1:10" ht="14.25" hidden="1" x14ac:dyDescent="0.25">
      <c r="A47" s="368" t="s">
        <v>77</v>
      </c>
      <c r="C47" s="325">
        <v>17863959.25</v>
      </c>
      <c r="D47" s="317">
        <f t="shared" si="4"/>
        <v>6.2128667313240092E-3</v>
      </c>
      <c r="E47" s="356"/>
      <c r="F47" s="497">
        <v>16000000</v>
      </c>
      <c r="G47" s="317">
        <f t="shared" si="5"/>
        <v>7.163437442793236E-3</v>
      </c>
      <c r="H47" s="356"/>
      <c r="I47" s="364">
        <f t="shared" si="6"/>
        <v>1863959.25</v>
      </c>
      <c r="J47" s="365">
        <v>0</v>
      </c>
    </row>
    <row r="48" spans="1:10" ht="14.25" hidden="1" x14ac:dyDescent="0.25">
      <c r="A48" s="368" t="s">
        <v>436</v>
      </c>
      <c r="C48" s="325">
        <v>14849000</v>
      </c>
      <c r="D48" s="317">
        <f t="shared" si="4"/>
        <v>5.1643007466796705E-3</v>
      </c>
      <c r="E48" s="356"/>
      <c r="F48" s="497">
        <v>11100000</v>
      </c>
      <c r="G48" s="317">
        <f t="shared" si="5"/>
        <v>4.9696347259378078E-3</v>
      </c>
      <c r="H48" s="356"/>
      <c r="I48" s="364">
        <f t="shared" si="6"/>
        <v>3749000</v>
      </c>
      <c r="J48" s="365">
        <f t="shared" ref="J48:J54" si="7">I48/F48</f>
        <v>0.33774774774774774</v>
      </c>
    </row>
    <row r="49" spans="1:10" ht="14.25" hidden="1" x14ac:dyDescent="0.25">
      <c r="A49" s="368" t="s">
        <v>232</v>
      </c>
      <c r="C49" s="325">
        <v>4992000</v>
      </c>
      <c r="D49" s="317">
        <f t="shared" si="4"/>
        <v>1.7361565982507183E-3</v>
      </c>
      <c r="E49" s="356"/>
      <c r="F49" s="497">
        <v>4850000</v>
      </c>
      <c r="G49" s="317">
        <f t="shared" si="5"/>
        <v>2.1714169748466997E-3</v>
      </c>
      <c r="H49" s="356"/>
      <c r="I49" s="364">
        <f t="shared" si="6"/>
        <v>142000</v>
      </c>
      <c r="J49" s="365">
        <f t="shared" si="7"/>
        <v>2.9278350515463916E-2</v>
      </c>
    </row>
    <row r="50" spans="1:10" ht="14.25" hidden="1" x14ac:dyDescent="0.25">
      <c r="A50" s="368" t="s">
        <v>233</v>
      </c>
      <c r="C50" s="325">
        <v>7519337</v>
      </c>
      <c r="D50" s="317">
        <f t="shared" si="4"/>
        <v>2.615133523041018E-3</v>
      </c>
      <c r="E50" s="356"/>
      <c r="F50" s="497">
        <v>7446353</v>
      </c>
      <c r="G50" s="317">
        <f t="shared" si="5"/>
        <v>3.333842743278484E-3</v>
      </c>
      <c r="H50" s="356"/>
      <c r="I50" s="364">
        <f t="shared" si="6"/>
        <v>72984</v>
      </c>
      <c r="J50" s="365">
        <f t="shared" si="7"/>
        <v>9.8013081034433909E-3</v>
      </c>
    </row>
    <row r="51" spans="1:10" ht="14.25" hidden="1" x14ac:dyDescent="0.25">
      <c r="A51" s="368" t="s">
        <v>79</v>
      </c>
      <c r="C51" s="325">
        <v>16485112</v>
      </c>
      <c r="D51" s="317">
        <f t="shared" si="4"/>
        <v>5.7333205071518623E-3</v>
      </c>
      <c r="E51" s="356"/>
      <c r="F51" s="497">
        <v>19403806</v>
      </c>
      <c r="G51" s="317">
        <f t="shared" si="5"/>
        <v>8.6873719020685043E-3</v>
      </c>
      <c r="H51" s="356"/>
      <c r="I51" s="364">
        <f t="shared" si="6"/>
        <v>-2918694</v>
      </c>
      <c r="J51" s="365">
        <f t="shared" si="7"/>
        <v>-0.15041863436482514</v>
      </c>
    </row>
    <row r="52" spans="1:10" ht="14.25" hidden="1" x14ac:dyDescent="0.25">
      <c r="A52" s="368" t="s">
        <v>234</v>
      </c>
      <c r="C52" s="325">
        <v>16485112</v>
      </c>
      <c r="D52" s="317">
        <f t="shared" si="4"/>
        <v>5.7333205071518623E-3</v>
      </c>
      <c r="E52" s="356"/>
      <c r="F52" s="497">
        <v>11559557</v>
      </c>
      <c r="G52" s="317">
        <f t="shared" si="5"/>
        <v>5.1753852147439156E-3</v>
      </c>
      <c r="H52" s="356"/>
      <c r="I52" s="364">
        <f t="shared" si="6"/>
        <v>4925555</v>
      </c>
      <c r="J52" s="365">
        <f t="shared" si="7"/>
        <v>0.42610240167508151</v>
      </c>
    </row>
    <row r="53" spans="1:10" ht="14.25" hidden="1" x14ac:dyDescent="0.25">
      <c r="A53" s="368" t="s">
        <v>81</v>
      </c>
      <c r="C53" s="325">
        <v>8570314</v>
      </c>
      <c r="D53" s="317">
        <f t="shared" si="4"/>
        <v>2.9806504808053899E-3</v>
      </c>
      <c r="E53" s="356"/>
      <c r="F53" s="497">
        <v>8500000</v>
      </c>
      <c r="G53" s="317">
        <f t="shared" si="5"/>
        <v>3.8055761414839068E-3</v>
      </c>
      <c r="H53" s="356"/>
      <c r="I53" s="364">
        <f t="shared" si="6"/>
        <v>70314</v>
      </c>
      <c r="J53" s="365">
        <f t="shared" si="7"/>
        <v>8.2722352941176462E-3</v>
      </c>
    </row>
    <row r="54" spans="1:10" ht="14.25" hidden="1" x14ac:dyDescent="0.25">
      <c r="A54" s="368" t="s">
        <v>82</v>
      </c>
      <c r="C54" s="325">
        <v>7091597</v>
      </c>
      <c r="D54" s="317">
        <f t="shared" si="4"/>
        <v>2.4663707779817704E-3</v>
      </c>
      <c r="E54" s="356"/>
      <c r="F54" s="497">
        <v>6500000</v>
      </c>
      <c r="G54" s="317">
        <f t="shared" si="5"/>
        <v>2.9101464611347521E-3</v>
      </c>
      <c r="H54" s="356"/>
      <c r="I54" s="364">
        <f t="shared" si="6"/>
        <v>591597</v>
      </c>
      <c r="J54" s="365">
        <f t="shared" si="7"/>
        <v>9.1014923076923077E-2</v>
      </c>
    </row>
    <row r="55" spans="1:10" ht="14.25" hidden="1" x14ac:dyDescent="0.25">
      <c r="A55" s="368" t="s">
        <v>83</v>
      </c>
      <c r="C55" s="325">
        <v>17508000</v>
      </c>
      <c r="D55" s="317">
        <f t="shared" si="4"/>
        <v>6.0890684539610523E-3</v>
      </c>
      <c r="E55" s="356"/>
      <c r="F55" s="497">
        <v>17000000</v>
      </c>
      <c r="G55" s="317">
        <f t="shared" si="5"/>
        <v>7.6111522829678136E-3</v>
      </c>
      <c r="H55" s="356"/>
      <c r="I55" s="364">
        <f t="shared" si="6"/>
        <v>508000</v>
      </c>
      <c r="J55" s="365">
        <v>0</v>
      </c>
    </row>
    <row r="56" spans="1:10" ht="14.25" hidden="1" x14ac:dyDescent="0.25">
      <c r="A56" s="368" t="s">
        <v>84</v>
      </c>
      <c r="C56" s="325">
        <v>38074465</v>
      </c>
      <c r="D56" s="317">
        <f t="shared" si="4"/>
        <v>1.3241833660780456E-2</v>
      </c>
      <c r="E56" s="356"/>
      <c r="F56" s="497">
        <v>26000000</v>
      </c>
      <c r="G56" s="317">
        <f t="shared" si="5"/>
        <v>1.1640585844539008E-2</v>
      </c>
      <c r="H56" s="356"/>
      <c r="I56" s="364">
        <f t="shared" si="6"/>
        <v>12074465</v>
      </c>
      <c r="J56" s="365">
        <f>I56/F56</f>
        <v>0.4644025</v>
      </c>
    </row>
    <row r="57" spans="1:10" ht="14.25" hidden="1" x14ac:dyDescent="0.25">
      <c r="A57" s="368" t="s">
        <v>85</v>
      </c>
      <c r="C57" s="325">
        <v>6581200</v>
      </c>
      <c r="D57" s="317">
        <f t="shared" si="4"/>
        <v>2.288860938382938E-3</v>
      </c>
      <c r="E57" s="356"/>
      <c r="F57" s="497">
        <v>4531200</v>
      </c>
      <c r="G57" s="317">
        <f t="shared" si="5"/>
        <v>2.0286854837990444E-3</v>
      </c>
      <c r="H57" s="356"/>
      <c r="I57" s="364">
        <f t="shared" si="6"/>
        <v>2050000</v>
      </c>
      <c r="J57" s="365">
        <v>0</v>
      </c>
    </row>
    <row r="58" spans="1:10" ht="14.25" hidden="1" x14ac:dyDescent="0.25">
      <c r="A58" s="368" t="s">
        <v>86</v>
      </c>
      <c r="C58" s="325">
        <v>20025971</v>
      </c>
      <c r="D58" s="317">
        <f t="shared" si="4"/>
        <v>6.9647879984029515E-3</v>
      </c>
      <c r="E58" s="356"/>
      <c r="F58" s="497">
        <v>17220000</v>
      </c>
      <c r="G58" s="317">
        <f t="shared" si="5"/>
        <v>7.7096495478062204E-3</v>
      </c>
      <c r="H58" s="356"/>
      <c r="I58" s="364">
        <f t="shared" si="6"/>
        <v>2805971</v>
      </c>
      <c r="J58" s="365">
        <v>0</v>
      </c>
    </row>
    <row r="59" spans="1:10" ht="14.25" hidden="1" x14ac:dyDescent="0.25">
      <c r="A59" s="368" t="s">
        <v>87</v>
      </c>
      <c r="C59" s="325">
        <v>22656000</v>
      </c>
      <c r="D59" s="317">
        <f t="shared" si="4"/>
        <v>7.8794799459071061E-3</v>
      </c>
      <c r="E59" s="356"/>
      <c r="F59" s="497">
        <v>20950361</v>
      </c>
      <c r="G59" s="317">
        <f t="shared" si="5"/>
        <v>9.3797875267146967E-3</v>
      </c>
      <c r="H59" s="356"/>
      <c r="I59" s="364">
        <f t="shared" si="6"/>
        <v>1705639</v>
      </c>
      <c r="J59" s="365">
        <f>I59/F59</f>
        <v>8.1413346528969116E-2</v>
      </c>
    </row>
    <row r="60" spans="1:10" ht="14.25" hidden="1" x14ac:dyDescent="0.25">
      <c r="A60" s="368" t="s">
        <v>235</v>
      </c>
      <c r="C60" s="325">
        <v>15311983</v>
      </c>
      <c r="D60" s="317">
        <f t="shared" si="4"/>
        <v>5.3253205764729221E-3</v>
      </c>
      <c r="E60" s="356"/>
      <c r="F60" s="497">
        <v>12621868</v>
      </c>
      <c r="G60" s="317">
        <f t="shared" si="5"/>
        <v>5.6509976143246116E-3</v>
      </c>
      <c r="H60" s="356"/>
      <c r="I60" s="364">
        <f t="shared" si="6"/>
        <v>2690115</v>
      </c>
      <c r="J60" s="365">
        <v>0</v>
      </c>
    </row>
    <row r="61" spans="1:10" ht="14.25" hidden="1" x14ac:dyDescent="0.25">
      <c r="A61" s="368" t="s">
        <v>88</v>
      </c>
      <c r="C61" s="325">
        <v>0</v>
      </c>
      <c r="D61" s="317">
        <f t="shared" si="4"/>
        <v>0</v>
      </c>
      <c r="E61" s="356"/>
      <c r="F61" s="497">
        <v>2057174</v>
      </c>
      <c r="G61" s="317">
        <f t="shared" si="5"/>
        <v>9.210273286212958E-4</v>
      </c>
      <c r="H61" s="356"/>
      <c r="I61" s="364">
        <f t="shared" si="6"/>
        <v>-2057174</v>
      </c>
      <c r="J61" s="365">
        <v>0</v>
      </c>
    </row>
    <row r="62" spans="1:10" ht="14.25" hidden="1" x14ac:dyDescent="0.25">
      <c r="A62" s="368" t="s">
        <v>90</v>
      </c>
      <c r="C62" s="325">
        <v>9941268</v>
      </c>
      <c r="D62" s="317">
        <f t="shared" si="4"/>
        <v>3.4574515290822761E-3</v>
      </c>
      <c r="E62" s="356"/>
      <c r="F62" s="497">
        <v>9900000</v>
      </c>
      <c r="G62" s="317">
        <f t="shared" si="5"/>
        <v>4.4323769177283152E-3</v>
      </c>
      <c r="H62" s="356"/>
      <c r="I62" s="364">
        <f t="shared" si="6"/>
        <v>41268</v>
      </c>
      <c r="J62" s="365">
        <f>I62/F62</f>
        <v>4.1684848484848484E-3</v>
      </c>
    </row>
    <row r="63" spans="1:10" ht="14.25" hidden="1" x14ac:dyDescent="0.25">
      <c r="A63" s="368" t="s">
        <v>91</v>
      </c>
      <c r="C63" s="325">
        <v>21636001</v>
      </c>
      <c r="D63" s="317">
        <f t="shared" si="4"/>
        <v>7.5247367579946191E-3</v>
      </c>
      <c r="E63" s="356"/>
      <c r="F63" s="497">
        <v>12752947</v>
      </c>
      <c r="G63" s="317">
        <f t="shared" si="5"/>
        <v>5.7096836278598545E-3</v>
      </c>
      <c r="H63" s="356"/>
      <c r="I63" s="364">
        <f t="shared" si="6"/>
        <v>8883054</v>
      </c>
      <c r="J63" s="365">
        <f>I63/F63</f>
        <v>0.69654911919574358</v>
      </c>
    </row>
    <row r="64" spans="1:10" ht="14.25" hidden="1" x14ac:dyDescent="0.25">
      <c r="A64" s="368" t="s">
        <v>438</v>
      </c>
      <c r="C64" s="325">
        <v>2581832</v>
      </c>
      <c r="D64" s="317">
        <f t="shared" si="4"/>
        <v>8.9792961986675645E-4</v>
      </c>
      <c r="E64" s="356"/>
      <c r="F64" s="497">
        <v>2468290</v>
      </c>
      <c r="G64" s="317">
        <f t="shared" si="5"/>
        <v>1.1050900628545074E-3</v>
      </c>
      <c r="H64" s="356"/>
      <c r="I64" s="364">
        <f t="shared" si="6"/>
        <v>113542</v>
      </c>
      <c r="J64" s="365">
        <f>I64/F64</f>
        <v>4.600026739159499E-2</v>
      </c>
    </row>
    <row r="65" spans="1:12" ht="14.25" hidden="1" x14ac:dyDescent="0.25">
      <c r="A65" s="368" t="s">
        <v>93</v>
      </c>
      <c r="C65" s="325">
        <v>1085048</v>
      </c>
      <c r="D65" s="317">
        <f t="shared" si="4"/>
        <v>3.7736643522010124E-4</v>
      </c>
      <c r="E65" s="356"/>
      <c r="F65" s="497">
        <v>556000</v>
      </c>
      <c r="G65" s="317">
        <f t="shared" si="5"/>
        <v>2.4892945113706494E-4</v>
      </c>
      <c r="H65" s="356"/>
      <c r="I65" s="364">
        <f t="shared" si="6"/>
        <v>529048</v>
      </c>
      <c r="J65" s="365">
        <v>0</v>
      </c>
    </row>
    <row r="66" spans="1:12" ht="14.25" hidden="1" x14ac:dyDescent="0.25">
      <c r="A66" s="368" t="s">
        <v>236</v>
      </c>
      <c r="C66" s="325">
        <v>52826122</v>
      </c>
      <c r="D66" s="317">
        <f t="shared" si="4"/>
        <v>1.8372279701582016E-2</v>
      </c>
      <c r="E66" s="356"/>
      <c r="F66" s="497">
        <v>0</v>
      </c>
      <c r="G66" s="317">
        <f t="shared" si="5"/>
        <v>0</v>
      </c>
      <c r="H66" s="356"/>
      <c r="I66" s="364">
        <f t="shared" si="6"/>
        <v>52826122</v>
      </c>
      <c r="J66" s="365">
        <v>0</v>
      </c>
      <c r="L66" s="630">
        <f>I66+I67</f>
        <v>40759269</v>
      </c>
    </row>
    <row r="67" spans="1:12" ht="14.25" hidden="1" x14ac:dyDescent="0.25">
      <c r="A67" s="368" t="s">
        <v>127</v>
      </c>
      <c r="C67" s="325">
        <v>18636469</v>
      </c>
      <c r="D67" s="317"/>
      <c r="E67" s="356"/>
      <c r="F67" s="497">
        <v>30703322</v>
      </c>
      <c r="G67" s="317">
        <f t="shared" si="5"/>
        <v>1.3746332902058582E-2</v>
      </c>
      <c r="H67" s="356"/>
      <c r="I67" s="364">
        <f t="shared" si="6"/>
        <v>-12066853</v>
      </c>
      <c r="J67" s="365">
        <v>0</v>
      </c>
      <c r="L67" s="630"/>
    </row>
    <row r="68" spans="1:12" ht="14.25" hidden="1" x14ac:dyDescent="0.25">
      <c r="A68" s="369" t="s">
        <v>437</v>
      </c>
      <c r="C68" s="325">
        <v>14112000</v>
      </c>
      <c r="D68" s="317">
        <f>+C68/$C$9</f>
        <v>4.9079811527472225E-3</v>
      </c>
      <c r="E68" s="356"/>
      <c r="F68" s="497">
        <v>13956000</v>
      </c>
      <c r="G68" s="317">
        <f t="shared" si="5"/>
        <v>6.2483083094764004E-3</v>
      </c>
      <c r="H68" s="356"/>
      <c r="I68" s="364">
        <f t="shared" si="6"/>
        <v>156000</v>
      </c>
      <c r="J68" s="365">
        <f>I68/F68</f>
        <v>1.117798796216681E-2</v>
      </c>
      <c r="L68" s="630"/>
    </row>
    <row r="69" spans="1:12" ht="14.25" hidden="1" x14ac:dyDescent="0.25">
      <c r="A69" s="369" t="s">
        <v>1009</v>
      </c>
      <c r="C69" s="325">
        <v>2936524</v>
      </c>
      <c r="D69" s="317"/>
      <c r="E69" s="356"/>
      <c r="F69" s="497">
        <v>0</v>
      </c>
      <c r="G69" s="317">
        <f t="shared" si="5"/>
        <v>0</v>
      </c>
      <c r="H69" s="356"/>
      <c r="I69" s="364">
        <f t="shared" si="6"/>
        <v>2936524</v>
      </c>
      <c r="J69" s="365">
        <v>0</v>
      </c>
      <c r="L69" s="630"/>
    </row>
    <row r="70" spans="1:12" ht="14.25" hidden="1" x14ac:dyDescent="0.25">
      <c r="A70" s="369" t="s">
        <v>390</v>
      </c>
      <c r="C70" s="325">
        <v>20098680</v>
      </c>
      <c r="D70" s="317">
        <f>+C70/$C$9</f>
        <v>6.9900753001061189E-3</v>
      </c>
      <c r="E70" s="356"/>
      <c r="F70" s="497">
        <v>19545440</v>
      </c>
      <c r="G70" s="317">
        <f t="shared" si="5"/>
        <v>8.7507835457417901E-3</v>
      </c>
      <c r="H70" s="356"/>
      <c r="I70" s="364">
        <f t="shared" si="6"/>
        <v>553240</v>
      </c>
      <c r="J70" s="365">
        <v>0</v>
      </c>
      <c r="L70" s="630"/>
    </row>
    <row r="71" spans="1:12" ht="14.25" hidden="1" x14ac:dyDescent="0.25">
      <c r="A71" s="368" t="s">
        <v>238</v>
      </c>
      <c r="C71" s="325">
        <v>8205264</v>
      </c>
      <c r="D71" s="317">
        <f>+C71/$C$9</f>
        <v>2.853690551680505E-3</v>
      </c>
      <c r="E71" s="356"/>
      <c r="F71" s="497">
        <v>20113631</v>
      </c>
      <c r="G71" s="317">
        <f t="shared" si="5"/>
        <v>9.0051710884954221E-3</v>
      </c>
      <c r="H71" s="356"/>
      <c r="I71" s="364">
        <f t="shared" si="6"/>
        <v>-11908367</v>
      </c>
      <c r="J71" s="365">
        <f>I71/F71</f>
        <v>-0.59205456240099064</v>
      </c>
      <c r="L71" s="630"/>
    </row>
    <row r="72" spans="1:12" ht="14.25" hidden="1" x14ac:dyDescent="0.25">
      <c r="A72" s="368" t="s">
        <v>237</v>
      </c>
      <c r="C72" s="325">
        <v>6613704</v>
      </c>
      <c r="D72" s="317">
        <f>+C72/$C$9</f>
        <v>2.3001654323872535E-3</v>
      </c>
      <c r="E72" s="356"/>
      <c r="F72" s="497">
        <v>8526000</v>
      </c>
      <c r="G72" s="317">
        <f t="shared" si="5"/>
        <v>3.8172167273284457E-3</v>
      </c>
      <c r="H72" s="356"/>
      <c r="I72" s="364">
        <f t="shared" si="6"/>
        <v>-1912296</v>
      </c>
      <c r="J72" s="365">
        <f>I72/F72</f>
        <v>-0.2242899366643209</v>
      </c>
      <c r="L72" s="630"/>
    </row>
    <row r="73" spans="1:12" ht="14.25" hidden="1" x14ac:dyDescent="0.25">
      <c r="A73" s="368" t="s">
        <v>996</v>
      </c>
      <c r="C73" s="325">
        <v>0</v>
      </c>
      <c r="D73" s="317"/>
      <c r="E73" s="356"/>
      <c r="F73" s="497">
        <v>0</v>
      </c>
      <c r="G73" s="317">
        <f t="shared" si="5"/>
        <v>0</v>
      </c>
      <c r="H73" s="356"/>
      <c r="I73" s="364">
        <f t="shared" si="6"/>
        <v>0</v>
      </c>
      <c r="J73" s="365">
        <v>0</v>
      </c>
      <c r="L73" s="630"/>
    </row>
    <row r="74" spans="1:12" ht="14.25" hidden="1" x14ac:dyDescent="0.25">
      <c r="A74" s="369" t="s">
        <v>33</v>
      </c>
      <c r="C74" s="325">
        <v>0</v>
      </c>
      <c r="D74" s="317">
        <f t="shared" ref="D74:D84" si="8">+C74/$C$9</f>
        <v>0</v>
      </c>
      <c r="E74" s="356"/>
      <c r="F74" s="497">
        <v>0</v>
      </c>
      <c r="G74" s="317">
        <f t="shared" si="5"/>
        <v>0</v>
      </c>
      <c r="H74" s="356"/>
      <c r="I74" s="364">
        <f t="shared" si="6"/>
        <v>0</v>
      </c>
      <c r="J74" s="365">
        <v>0</v>
      </c>
      <c r="L74" s="630"/>
    </row>
    <row r="75" spans="1:12" ht="14.25" hidden="1" x14ac:dyDescent="0.25">
      <c r="A75" s="369" t="s">
        <v>239</v>
      </c>
      <c r="C75" s="325">
        <v>29684930</v>
      </c>
      <c r="D75" s="317">
        <f t="shared" si="8"/>
        <v>1.0324055907073457E-2</v>
      </c>
      <c r="E75" s="356"/>
      <c r="F75" s="515">
        <v>16386330</v>
      </c>
      <c r="G75" s="317">
        <f t="shared" si="5"/>
        <v>7.336403116997881E-3</v>
      </c>
      <c r="H75" s="356"/>
      <c r="I75" s="364">
        <f t="shared" si="6"/>
        <v>13298600</v>
      </c>
      <c r="J75" s="365">
        <f>I75/F75</f>
        <v>0.81156671445039863</v>
      </c>
      <c r="L75" s="630">
        <f>I75</f>
        <v>13298600</v>
      </c>
    </row>
    <row r="76" spans="1:12" ht="14.25" hidden="1" x14ac:dyDescent="0.25">
      <c r="A76" s="369" t="s">
        <v>240</v>
      </c>
      <c r="C76" s="325">
        <v>1852045</v>
      </c>
      <c r="D76" s="317">
        <f t="shared" si="8"/>
        <v>6.4411861919215778E-4</v>
      </c>
      <c r="E76" s="356"/>
      <c r="F76" s="497">
        <v>2825869</v>
      </c>
      <c r="G76" s="317">
        <f t="shared" si="5"/>
        <v>1.2651834876892924E-3</v>
      </c>
      <c r="H76" s="356"/>
      <c r="I76" s="364">
        <f t="shared" si="6"/>
        <v>-973824</v>
      </c>
      <c r="J76" s="365">
        <v>0</v>
      </c>
      <c r="L76" s="630"/>
    </row>
    <row r="77" spans="1:12" ht="14.25" hidden="1" x14ac:dyDescent="0.25">
      <c r="A77" s="369" t="s">
        <v>241</v>
      </c>
      <c r="C77" s="325">
        <v>19230539</v>
      </c>
      <c r="D77" s="317">
        <f t="shared" si="8"/>
        <v>6.6881464689038002E-3</v>
      </c>
      <c r="E77" s="356"/>
      <c r="F77" s="497">
        <v>14004181</v>
      </c>
      <c r="G77" s="317">
        <f t="shared" si="5"/>
        <v>6.2698796581908516E-3</v>
      </c>
      <c r="H77" s="356"/>
      <c r="I77" s="364">
        <f t="shared" si="6"/>
        <v>5226358</v>
      </c>
      <c r="J77" s="365">
        <f>I77/F77</f>
        <v>0.37319983225009729</v>
      </c>
      <c r="L77" s="630"/>
    </row>
    <row r="78" spans="1:12" ht="14.25" hidden="1" x14ac:dyDescent="0.25">
      <c r="A78" s="369" t="s">
        <v>242</v>
      </c>
      <c r="C78" s="325">
        <v>13621412</v>
      </c>
      <c r="D78" s="317">
        <f t="shared" si="8"/>
        <v>4.7373606412843576E-3</v>
      </c>
      <c r="E78" s="356"/>
      <c r="F78" s="497">
        <v>5230877</v>
      </c>
      <c r="G78" s="317">
        <f t="shared" si="5"/>
        <v>2.3419412600278722E-3</v>
      </c>
      <c r="H78" s="356"/>
      <c r="I78" s="364">
        <f t="shared" si="6"/>
        <v>8390535</v>
      </c>
      <c r="J78" s="365">
        <f>I78/F78</f>
        <v>1.6040398197090087</v>
      </c>
      <c r="L78" s="630"/>
    </row>
    <row r="79" spans="1:12" ht="14.25" hidden="1" x14ac:dyDescent="0.25">
      <c r="A79" s="369" t="s">
        <v>243</v>
      </c>
      <c r="C79" s="325">
        <v>17686668</v>
      </c>
      <c r="D79" s="317">
        <f t="shared" si="8"/>
        <v>6.1512070010556561E-3</v>
      </c>
      <c r="E79" s="356"/>
      <c r="F79" s="497">
        <v>17271319</v>
      </c>
      <c r="G79" s="317">
        <f t="shared" si="5"/>
        <v>7.7326258256891394E-3</v>
      </c>
      <c r="H79" s="356"/>
      <c r="I79" s="364">
        <f t="shared" si="6"/>
        <v>415349</v>
      </c>
      <c r="J79" s="365">
        <f>I79/F79</f>
        <v>2.4048481763321028E-2</v>
      </c>
      <c r="L79" s="630"/>
    </row>
    <row r="80" spans="1:12" ht="14.25" hidden="1" x14ac:dyDescent="0.25">
      <c r="A80" s="369" t="s">
        <v>244</v>
      </c>
      <c r="C80" s="325">
        <v>163136500</v>
      </c>
      <c r="D80" s="317">
        <f t="shared" si="8"/>
        <v>5.6736881188006467E-2</v>
      </c>
      <c r="E80" s="356"/>
      <c r="F80" s="497">
        <v>129262500</v>
      </c>
      <c r="G80" s="317">
        <f t="shared" si="5"/>
        <v>5.7872739528066292E-2</v>
      </c>
      <c r="H80" s="356"/>
      <c r="I80" s="364">
        <f t="shared" si="6"/>
        <v>33874000</v>
      </c>
      <c r="J80" s="365">
        <v>0</v>
      </c>
      <c r="L80" s="630"/>
    </row>
    <row r="81" spans="1:12" ht="14.25" hidden="1" x14ac:dyDescent="0.25">
      <c r="A81" s="369" t="s">
        <v>245</v>
      </c>
      <c r="C81" s="325">
        <v>11124000</v>
      </c>
      <c r="D81" s="317">
        <f t="shared" si="8"/>
        <v>3.8687912658134996E-3</v>
      </c>
      <c r="E81" s="356"/>
      <c r="F81" s="497">
        <v>4686402</v>
      </c>
      <c r="G81" s="317">
        <f t="shared" si="5"/>
        <v>2.0981717224238194E-3</v>
      </c>
      <c r="H81" s="356"/>
      <c r="I81" s="364">
        <f t="shared" si="6"/>
        <v>6437598</v>
      </c>
      <c r="J81" s="365">
        <v>0</v>
      </c>
      <c r="L81" s="630"/>
    </row>
    <row r="82" spans="1:12" ht="14.25" hidden="1" x14ac:dyDescent="0.25">
      <c r="A82" s="369" t="s">
        <v>642</v>
      </c>
      <c r="C82" s="325">
        <v>3061800</v>
      </c>
      <c r="D82" s="317">
        <f t="shared" si="8"/>
        <v>1.0648566251049779E-3</v>
      </c>
      <c r="E82" s="356"/>
      <c r="F82" s="497">
        <v>3000000</v>
      </c>
      <c r="G82" s="317">
        <f t="shared" si="5"/>
        <v>1.3431445205237319E-3</v>
      </c>
      <c r="H82" s="356"/>
      <c r="I82" s="364">
        <f t="shared" si="6"/>
        <v>61800</v>
      </c>
      <c r="J82" s="365">
        <f>I82/F82</f>
        <v>2.06E-2</v>
      </c>
      <c r="L82" s="630"/>
    </row>
    <row r="83" spans="1:12" ht="14.25" hidden="1" x14ac:dyDescent="0.25">
      <c r="A83" s="369" t="s">
        <v>679</v>
      </c>
      <c r="C83" s="325"/>
      <c r="D83" s="317">
        <f t="shared" si="8"/>
        <v>0</v>
      </c>
      <c r="E83" s="356"/>
      <c r="F83" s="393">
        <v>5688000</v>
      </c>
      <c r="G83" s="317">
        <f t="shared" si="5"/>
        <v>2.5466020109129956E-3</v>
      </c>
      <c r="H83" s="356"/>
      <c r="I83" s="364">
        <f t="shared" si="6"/>
        <v>-5688000</v>
      </c>
      <c r="J83" s="365">
        <v>0</v>
      </c>
      <c r="L83" s="630"/>
    </row>
    <row r="84" spans="1:12" ht="14.25" hidden="1" x14ac:dyDescent="0.25">
      <c r="A84" s="369" t="s">
        <v>690</v>
      </c>
      <c r="C84" s="325">
        <v>5811129</v>
      </c>
      <c r="D84" s="317">
        <f t="shared" si="8"/>
        <v>2.0210396547748594E-3</v>
      </c>
      <c r="E84" s="356"/>
      <c r="F84" s="573">
        <v>20000000</v>
      </c>
      <c r="G84" s="317">
        <f t="shared" si="5"/>
        <v>8.9542968034915446E-3</v>
      </c>
      <c r="H84" s="356"/>
      <c r="I84" s="364">
        <f t="shared" si="6"/>
        <v>-14188871</v>
      </c>
      <c r="J84" s="365"/>
      <c r="K84" s="507"/>
      <c r="L84" s="630"/>
    </row>
    <row r="85" spans="1:12" ht="14.25" hidden="1" x14ac:dyDescent="0.25">
      <c r="A85" s="369" t="s">
        <v>1052</v>
      </c>
      <c r="C85" s="325">
        <v>0</v>
      </c>
      <c r="D85" s="317"/>
      <c r="E85" s="356"/>
      <c r="F85" s="573">
        <v>0</v>
      </c>
      <c r="G85" s="317">
        <f t="shared" si="5"/>
        <v>0</v>
      </c>
      <c r="H85" s="356"/>
      <c r="I85" s="364">
        <f t="shared" si="6"/>
        <v>0</v>
      </c>
      <c r="J85" s="365"/>
      <c r="K85" s="507"/>
      <c r="L85" s="630"/>
    </row>
    <row r="86" spans="1:12" ht="14.25" x14ac:dyDescent="0.25">
      <c r="A86" s="342" t="s">
        <v>246</v>
      </c>
      <c r="C86" s="318">
        <v>996940585</v>
      </c>
      <c r="D86" s="371">
        <f>+C86/$C$9</f>
        <v>0.34672375294705149</v>
      </c>
      <c r="E86" s="356"/>
      <c r="F86" s="313">
        <f>SUM(F41:F85)</f>
        <v>557851068</v>
      </c>
      <c r="G86" s="366">
        <f t="shared" si="5"/>
        <v>0.24975820175083724</v>
      </c>
      <c r="H86" s="356"/>
      <c r="I86" s="313">
        <f t="shared" si="6"/>
        <v>439089517</v>
      </c>
      <c r="J86" s="326">
        <f>I86/F86</f>
        <v>0.78710885787889184</v>
      </c>
      <c r="L86" s="630"/>
    </row>
    <row r="87" spans="1:12" ht="14.25" x14ac:dyDescent="0.25">
      <c r="A87" s="342" t="s">
        <v>247</v>
      </c>
      <c r="C87" s="318">
        <f>+C16+C37+C86</f>
        <v>2801499553</v>
      </c>
      <c r="D87" s="371">
        <f>+C87/$C$9</f>
        <v>0.97432731048425236</v>
      </c>
      <c r="E87" s="356"/>
      <c r="F87" s="313">
        <f>SUM(F86,F37,F16)</f>
        <v>1833167531</v>
      </c>
      <c r="G87" s="366">
        <f t="shared" si="5"/>
        <v>0.8207363081548894</v>
      </c>
      <c r="H87" s="356"/>
      <c r="I87" s="313">
        <f t="shared" si="6"/>
        <v>968332022</v>
      </c>
      <c r="J87" s="326">
        <f>I87/F87</f>
        <v>0.52822887467997603</v>
      </c>
      <c r="L87" s="630"/>
    </row>
    <row r="88" spans="1:12" ht="14.25" x14ac:dyDescent="0.25">
      <c r="A88" s="376"/>
      <c r="C88" s="348"/>
      <c r="D88" s="377"/>
      <c r="E88" s="356"/>
      <c r="F88" s="348"/>
      <c r="G88" s="377"/>
      <c r="H88" s="356"/>
      <c r="I88" s="348"/>
      <c r="J88" s="416"/>
      <c r="L88" s="630"/>
    </row>
    <row r="89" spans="1:12" ht="14.25" x14ac:dyDescent="0.25">
      <c r="A89" s="321" t="s">
        <v>398</v>
      </c>
      <c r="C89" s="313">
        <f>+C9-C87</f>
        <v>73817112</v>
      </c>
      <c r="D89" s="366">
        <f>C89/C9</f>
        <v>2.5672689515747651E-2</v>
      </c>
      <c r="E89" s="356"/>
      <c r="F89" s="313">
        <f>+F9-F87</f>
        <v>400397029</v>
      </c>
      <c r="G89" s="366">
        <f>+F89/$F$9</f>
        <v>0.17926369184511057</v>
      </c>
      <c r="H89" s="356"/>
      <c r="I89" s="313">
        <f>C89-F89</f>
        <v>-326579917</v>
      </c>
      <c r="J89" s="326">
        <f>I89/F89</f>
        <v>-0.81564021045720592</v>
      </c>
      <c r="L89" s="630"/>
    </row>
    <row r="90" spans="1:12" s="295" customFormat="1" ht="14.25" x14ac:dyDescent="0.25">
      <c r="A90" s="303"/>
      <c r="B90" s="346"/>
      <c r="D90" s="378"/>
      <c r="E90" s="356"/>
      <c r="G90" s="378"/>
      <c r="H90" s="356"/>
      <c r="J90" s="301"/>
      <c r="L90" s="631"/>
    </row>
    <row r="91" spans="1:12" ht="14.25" x14ac:dyDescent="0.25">
      <c r="A91" s="1200" t="s">
        <v>404</v>
      </c>
      <c r="C91" s="294"/>
      <c r="D91" s="308"/>
      <c r="E91" s="356"/>
      <c r="F91" s="294"/>
      <c r="G91" s="308"/>
      <c r="H91" s="356"/>
      <c r="I91" s="332"/>
      <c r="J91" s="332"/>
      <c r="L91" s="630"/>
    </row>
    <row r="92" spans="1:12" ht="14.25" x14ac:dyDescent="0.25">
      <c r="A92" s="1200"/>
      <c r="C92" s="383">
        <f>C6</f>
        <v>2016</v>
      </c>
      <c r="D92" s="384" t="s">
        <v>400</v>
      </c>
      <c r="E92" s="356"/>
      <c r="F92" s="383">
        <f>F6</f>
        <v>2014</v>
      </c>
      <c r="G92" s="384" t="s">
        <v>400</v>
      </c>
      <c r="H92" s="356"/>
      <c r="I92" s="383" t="s">
        <v>392</v>
      </c>
      <c r="J92" s="384" t="s">
        <v>393</v>
      </c>
      <c r="L92" s="630"/>
    </row>
    <row r="93" spans="1:12" ht="14.25" x14ac:dyDescent="0.25">
      <c r="A93" s="312" t="s">
        <v>111</v>
      </c>
      <c r="C93" s="318">
        <v>55410382</v>
      </c>
      <c r="D93" s="362">
        <f>+C93/$C$9</f>
        <v>1.9271053750178853E-2</v>
      </c>
      <c r="E93" s="356"/>
      <c r="F93" s="370">
        <v>20722700</v>
      </c>
      <c r="G93" s="362">
        <f>+F93/$F$9</f>
        <v>9.2778603184857124E-3</v>
      </c>
      <c r="H93" s="356"/>
      <c r="I93" s="364">
        <f>C93-F93</f>
        <v>34687682</v>
      </c>
      <c r="J93" s="365">
        <f>IF(F93&lt;&gt;0,I93/F93,0)</f>
        <v>1.6738978028924802</v>
      </c>
      <c r="L93" s="630"/>
    </row>
    <row r="94" spans="1:12" ht="14.25" x14ac:dyDescent="0.25">
      <c r="A94" s="312" t="s">
        <v>1223</v>
      </c>
      <c r="C94" s="318">
        <v>3952634</v>
      </c>
      <c r="D94" s="362">
        <f>+C94/$C$9</f>
        <v>1.3746778044010676E-3</v>
      </c>
      <c r="E94" s="356"/>
      <c r="F94" s="370"/>
      <c r="G94" s="362"/>
      <c r="H94" s="356"/>
      <c r="I94" s="364"/>
      <c r="J94" s="365"/>
      <c r="L94" s="630"/>
    </row>
    <row r="95" spans="1:12" ht="14.25" x14ac:dyDescent="0.25">
      <c r="A95" s="312" t="s">
        <v>1224</v>
      </c>
      <c r="C95" s="318">
        <v>-763465.91</v>
      </c>
      <c r="D95" s="362">
        <f>+C95/$C$9</f>
        <v>-2.6552411401962924E-4</v>
      </c>
      <c r="E95" s="356"/>
      <c r="F95" s="370">
        <v>26606311</v>
      </c>
      <c r="G95" s="362"/>
      <c r="H95" s="356"/>
      <c r="I95" s="364"/>
      <c r="J95" s="365"/>
      <c r="L95" s="630"/>
    </row>
    <row r="96" spans="1:12" ht="14.25" x14ac:dyDescent="0.25">
      <c r="A96" s="321" t="s">
        <v>405</v>
      </c>
      <c r="C96" s="313">
        <f>SUM(C93:C95)</f>
        <v>58599550.090000004</v>
      </c>
      <c r="D96" s="371">
        <f>+C96/$C$9</f>
        <v>2.0380207440560291E-2</v>
      </c>
      <c r="E96" s="356"/>
      <c r="F96" s="313">
        <f>SUM(F93:F95)</f>
        <v>47329011</v>
      </c>
      <c r="G96" s="371">
        <f>+F96/$F$9</f>
        <v>2.1189900595485811E-2</v>
      </c>
      <c r="H96" s="356"/>
      <c r="I96" s="313">
        <f>C96-F96</f>
        <v>11270539.090000004</v>
      </c>
      <c r="J96" s="365">
        <v>0</v>
      </c>
      <c r="L96" s="630"/>
    </row>
    <row r="97" spans="1:12" s="295" customFormat="1" ht="14.25" x14ac:dyDescent="0.25">
      <c r="A97" s="309"/>
      <c r="B97" s="346"/>
      <c r="C97" s="378"/>
      <c r="D97" s="333"/>
      <c r="E97" s="356"/>
      <c r="F97" s="305"/>
      <c r="G97" s="378"/>
      <c r="H97" s="356"/>
      <c r="I97" s="378"/>
      <c r="J97" s="378"/>
      <c r="L97" s="631"/>
    </row>
    <row r="98" spans="1:12" s="295" customFormat="1" ht="14.25" x14ac:dyDescent="0.25">
      <c r="A98" s="309"/>
      <c r="B98" s="346"/>
      <c r="C98" s="378"/>
      <c r="D98" s="333"/>
      <c r="E98" s="356"/>
      <c r="F98" s="305"/>
      <c r="G98" s="378"/>
      <c r="H98" s="356"/>
      <c r="I98" s="378"/>
      <c r="J98" s="378"/>
      <c r="L98" s="631"/>
    </row>
    <row r="99" spans="1:12" ht="14.25" x14ac:dyDescent="0.25">
      <c r="A99" s="385" t="s">
        <v>399</v>
      </c>
      <c r="C99" s="313">
        <f>+C89+C96</f>
        <v>132416662.09</v>
      </c>
      <c r="D99" s="387">
        <f>+C99/$C$9</f>
        <v>4.6052896956307945E-2</v>
      </c>
      <c r="E99" s="483"/>
      <c r="F99" s="386">
        <f>+F89+F96</f>
        <v>447726040</v>
      </c>
      <c r="G99" s="387">
        <f>+F99/$F$9</f>
        <v>0.20045359244059638</v>
      </c>
      <c r="H99" s="483"/>
      <c r="I99" s="386">
        <f>C99-F99</f>
        <v>-315309377.90999997</v>
      </c>
      <c r="J99" s="388">
        <f>I99/F99</f>
        <v>-0.70424623484039472</v>
      </c>
      <c r="L99" s="630"/>
    </row>
    <row r="100" spans="1:12" ht="20.100000000000001" customHeight="1" x14ac:dyDescent="0.25">
      <c r="A100" s="379"/>
      <c r="C100" s="632"/>
      <c r="D100" s="380"/>
      <c r="E100" s="380"/>
      <c r="F100" s="307"/>
      <c r="G100" s="380"/>
      <c r="H100" s="380"/>
      <c r="I100" s="380"/>
      <c r="J100" s="380"/>
      <c r="K100" s="295"/>
      <c r="L100" s="630"/>
    </row>
    <row r="101" spans="1:12" ht="20.100000000000001" customHeight="1" x14ac:dyDescent="0.25">
      <c r="A101" s="307"/>
      <c r="C101" s="418"/>
      <c r="D101" s="377"/>
      <c r="E101" s="377"/>
      <c r="F101" s="418"/>
      <c r="G101" s="377"/>
      <c r="H101" s="377"/>
      <c r="I101" s="377"/>
      <c r="J101" s="377"/>
      <c r="K101" s="343"/>
      <c r="L101" s="630"/>
    </row>
    <row r="102" spans="1:12" ht="20.100000000000001" customHeight="1" x14ac:dyDescent="0.25">
      <c r="A102" s="311" t="s">
        <v>450</v>
      </c>
      <c r="B102" s="1181" t="s">
        <v>1026</v>
      </c>
      <c r="C102" s="1181"/>
      <c r="D102" s="1181"/>
      <c r="E102" s="1181"/>
      <c r="F102" s="475"/>
      <c r="G102" s="1181" t="s">
        <v>258</v>
      </c>
      <c r="H102" s="1181"/>
      <c r="I102" s="1181"/>
      <c r="J102" s="1181"/>
      <c r="K102" s="346"/>
      <c r="L102" s="630"/>
    </row>
    <row r="103" spans="1:12" ht="24.75" customHeight="1" x14ac:dyDescent="0.25">
      <c r="A103" s="417" t="s">
        <v>49</v>
      </c>
      <c r="B103" s="1189" t="s">
        <v>1027</v>
      </c>
      <c r="C103" s="1189"/>
      <c r="D103" s="1189"/>
      <c r="E103" s="1189"/>
      <c r="F103" s="357"/>
      <c r="G103" s="1201" t="s">
        <v>279</v>
      </c>
      <c r="H103" s="1201"/>
      <c r="I103" s="1201"/>
      <c r="J103" s="1201"/>
      <c r="K103" s="346"/>
      <c r="L103" s="630"/>
    </row>
    <row r="104" spans="1:12" ht="20.100000000000001" hidden="1" customHeight="1" x14ac:dyDescent="0.25">
      <c r="A104" s="295"/>
      <c r="C104" s="343"/>
      <c r="D104" s="343"/>
      <c r="E104" s="343"/>
      <c r="F104" s="381"/>
      <c r="G104" s="343"/>
      <c r="H104" s="343"/>
      <c r="I104" s="343"/>
      <c r="J104" s="343"/>
      <c r="K104" s="343"/>
      <c r="L104" s="630"/>
    </row>
    <row r="105" spans="1:12" ht="20.100000000000001" hidden="1" customHeight="1" x14ac:dyDescent="0.25">
      <c r="A105" s="385" t="s">
        <v>435</v>
      </c>
      <c r="B105" s="518"/>
      <c r="C105" s="519">
        <f>C99+SUM(C71:C76)</f>
        <v>178772605.09</v>
      </c>
      <c r="D105" s="519"/>
      <c r="E105" s="519"/>
      <c r="F105" s="519">
        <f>F99+SUM(F71:F76)</f>
        <v>495577870</v>
      </c>
      <c r="G105" s="343"/>
      <c r="H105" s="343"/>
      <c r="I105" s="343"/>
      <c r="J105" s="343"/>
      <c r="K105" s="343"/>
    </row>
    <row r="106" spans="1:12" ht="20.100000000000001" hidden="1" customHeight="1" x14ac:dyDescent="0.25">
      <c r="C106" s="343"/>
      <c r="D106" s="343"/>
      <c r="E106" s="343"/>
      <c r="F106" s="381"/>
      <c r="G106" s="343"/>
      <c r="H106" s="343"/>
      <c r="I106" s="343"/>
      <c r="J106" s="343"/>
      <c r="K106" s="343"/>
    </row>
    <row r="107" spans="1:12" ht="20.100000000000001" hidden="1" customHeight="1" x14ac:dyDescent="0.25"/>
    <row r="108" spans="1:12" ht="20.100000000000001" hidden="1" customHeight="1" x14ac:dyDescent="0.25">
      <c r="C108" s="360">
        <f>C96+C9</f>
        <v>2933916215.0900002</v>
      </c>
      <c r="F108" s="360">
        <f>F93+F9</f>
        <v>2254287260</v>
      </c>
      <c r="I108" s="360">
        <f>C108-F108</f>
        <v>679628955.09000015</v>
      </c>
      <c r="K108" s="566">
        <f>I108/F108</f>
        <v>0.30148285320567358</v>
      </c>
    </row>
    <row r="109" spans="1:12" ht="20.100000000000001" hidden="1" customHeight="1" x14ac:dyDescent="0.25"/>
    <row r="110" spans="1:12" ht="20.100000000000001" hidden="1" customHeight="1" x14ac:dyDescent="0.25"/>
  </sheetData>
  <mergeCells count="12">
    <mergeCell ref="A2:D2"/>
    <mergeCell ref="A3:D3"/>
    <mergeCell ref="A4:D4"/>
    <mergeCell ref="A11:A12"/>
    <mergeCell ref="A19:A20"/>
    <mergeCell ref="A5:A6"/>
    <mergeCell ref="G102:J102"/>
    <mergeCell ref="G103:J103"/>
    <mergeCell ref="B102:E102"/>
    <mergeCell ref="B103:E103"/>
    <mergeCell ref="A39:A40"/>
    <mergeCell ref="A91:A92"/>
  </mergeCells>
  <pageMargins left="0.70866141732283472" right="0.70866141732283472" top="0.74803149606299213" bottom="1.1417322834645669" header="0.31496062992125984" footer="0.31496062992125984"/>
  <pageSetup scale="70" firstPageNumber="0" orientation="portrait" verticalDpi="300" r:id="rId1"/>
  <headerFooter alignWithMargins="0"/>
  <ignoredErrors>
    <ignoredError sqref="C9" formulaRange="1"/>
  </ignoredError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17"/>
  <sheetViews>
    <sheetView workbookViewId="0">
      <selection activeCell="G23" sqref="G23"/>
    </sheetView>
  </sheetViews>
  <sheetFormatPr baseColWidth="10" defaultRowHeight="15" x14ac:dyDescent="0.2"/>
  <cols>
    <col min="1" max="1" width="43.109375" bestFit="1" customWidth="1"/>
  </cols>
  <sheetData>
    <row r="1" spans="1:1" x14ac:dyDescent="0.2">
      <c r="A1" t="s">
        <v>1225</v>
      </c>
    </row>
    <row r="5" spans="1:1" x14ac:dyDescent="0.2">
      <c r="A5" t="s">
        <v>1226</v>
      </c>
    </row>
    <row r="6" spans="1:1" x14ac:dyDescent="0.2">
      <c r="A6" t="s">
        <v>1228</v>
      </c>
    </row>
    <row r="7" spans="1:1" x14ac:dyDescent="0.2">
      <c r="A7" t="s">
        <v>1227</v>
      </c>
    </row>
    <row r="10" spans="1:1" x14ac:dyDescent="0.2">
      <c r="A10" t="s">
        <v>1229</v>
      </c>
    </row>
    <row r="16" spans="1:1" x14ac:dyDescent="0.2">
      <c r="A16" t="s">
        <v>1231</v>
      </c>
    </row>
    <row r="17" spans="1:1" x14ac:dyDescent="0.2">
      <c r="A17" t="s">
        <v>1230</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tabColor rgb="FFFF0000"/>
  </sheetPr>
  <dimension ref="A1:E205"/>
  <sheetViews>
    <sheetView workbookViewId="0">
      <selection sqref="A1:D3"/>
    </sheetView>
  </sheetViews>
  <sheetFormatPr baseColWidth="10" defaultRowHeight="15" x14ac:dyDescent="0.2"/>
  <cols>
    <col min="1" max="1" width="35" bestFit="1" customWidth="1"/>
    <col min="3" max="3" width="15.33203125" style="795" bestFit="1" customWidth="1"/>
    <col min="4" max="4" width="17" style="795" bestFit="1" customWidth="1"/>
    <col min="5" max="5" width="10" style="809" bestFit="1" customWidth="1"/>
  </cols>
  <sheetData>
    <row r="1" spans="1:5" ht="15.75" customHeight="1" x14ac:dyDescent="0.25">
      <c r="A1" s="1326" t="s">
        <v>216</v>
      </c>
      <c r="B1" s="1326"/>
      <c r="C1" s="1326"/>
      <c r="D1" s="1326"/>
    </row>
    <row r="2" spans="1:5" ht="15.75" customHeight="1" x14ac:dyDescent="0.25">
      <c r="A2" s="1326" t="s">
        <v>1269</v>
      </c>
      <c r="B2" s="1326"/>
      <c r="C2" s="1326"/>
      <c r="D2" s="1326"/>
    </row>
    <row r="3" spans="1:5" ht="15.75" x14ac:dyDescent="0.25">
      <c r="A3" s="1327" t="s">
        <v>1213</v>
      </c>
      <c r="B3" s="1327"/>
      <c r="C3" s="1327"/>
      <c r="D3" s="1327"/>
    </row>
    <row r="4" spans="1:5" ht="15.75" thickBot="1" x14ac:dyDescent="0.25"/>
    <row r="5" spans="1:5" ht="15.75" thickBot="1" x14ac:dyDescent="0.25">
      <c r="A5" s="1324" t="s">
        <v>114</v>
      </c>
      <c r="B5" s="1325"/>
      <c r="C5" s="1325"/>
      <c r="D5" s="1325"/>
      <c r="E5" s="1325"/>
    </row>
    <row r="6" spans="1:5" ht="15.75" thickBot="1" x14ac:dyDescent="0.25">
      <c r="A6" s="755" t="s">
        <v>50</v>
      </c>
      <c r="B6" s="755" t="s">
        <v>1062</v>
      </c>
      <c r="C6" s="755" t="s">
        <v>1238</v>
      </c>
      <c r="D6" s="755" t="s">
        <v>1172</v>
      </c>
      <c r="E6" s="810" t="s">
        <v>1095</v>
      </c>
    </row>
    <row r="7" spans="1:5" ht="15.75" thickBot="1" x14ac:dyDescent="0.25">
      <c r="A7" s="638" t="s">
        <v>1268</v>
      </c>
      <c r="B7" s="805">
        <v>8</v>
      </c>
      <c r="C7" s="797">
        <v>3277566897</v>
      </c>
      <c r="D7" s="797">
        <v>2853286762</v>
      </c>
      <c r="E7" s="811">
        <f>+C7-D7</f>
        <v>424280135</v>
      </c>
    </row>
    <row r="8" spans="1:5" ht="15.75" thickBot="1" x14ac:dyDescent="0.25">
      <c r="A8" s="755" t="s">
        <v>1270</v>
      </c>
      <c r="B8" s="755"/>
      <c r="C8" s="798">
        <f>SUM(C7)</f>
        <v>3277566897</v>
      </c>
      <c r="D8" s="798">
        <f>SUM(D7)</f>
        <v>2853286762</v>
      </c>
      <c r="E8" s="810">
        <f>SUM(E7)</f>
        <v>424280135</v>
      </c>
    </row>
    <row r="9" spans="1:5" ht="15.75" thickBot="1" x14ac:dyDescent="0.25"/>
    <row r="10" spans="1:5" ht="15.75" thickBot="1" x14ac:dyDescent="0.25">
      <c r="A10" s="755" t="s">
        <v>1271</v>
      </c>
      <c r="B10" s="755"/>
      <c r="C10" s="755" t="s">
        <v>1238</v>
      </c>
      <c r="D10" s="755" t="s">
        <v>1172</v>
      </c>
      <c r="E10" s="810" t="s">
        <v>1095</v>
      </c>
    </row>
    <row r="11" spans="1:5" ht="15.75" thickBot="1" x14ac:dyDescent="0.25">
      <c r="A11" s="638" t="s">
        <v>1272</v>
      </c>
      <c r="B11" s="805">
        <v>14</v>
      </c>
      <c r="C11" s="797">
        <v>98632511</v>
      </c>
      <c r="D11" s="797">
        <v>81392920</v>
      </c>
      <c r="E11" s="811">
        <f>+C11-D11</f>
        <v>17239591</v>
      </c>
    </row>
    <row r="12" spans="1:5" ht="15.75" thickBot="1" x14ac:dyDescent="0.25">
      <c r="A12" s="755" t="s">
        <v>1273</v>
      </c>
      <c r="B12" s="755"/>
      <c r="C12" s="798">
        <f>SUM(C11)</f>
        <v>98632511</v>
      </c>
      <c r="D12" s="798">
        <f>SUM(D11)</f>
        <v>81392920</v>
      </c>
      <c r="E12" s="810">
        <f>SUM(E11)</f>
        <v>17239591</v>
      </c>
    </row>
    <row r="13" spans="1:5" ht="16.5" thickBot="1" x14ac:dyDescent="0.3">
      <c r="A13" s="796"/>
      <c r="B13" s="796"/>
    </row>
    <row r="14" spans="1:5" ht="15.75" thickBot="1" x14ac:dyDescent="0.25">
      <c r="A14" s="755" t="s">
        <v>52</v>
      </c>
      <c r="B14" s="755"/>
      <c r="C14" s="798">
        <f>+C8+C12</f>
        <v>3376199408</v>
      </c>
      <c r="D14" s="798">
        <f>+D8+D12</f>
        <v>2934679682</v>
      </c>
      <c r="E14" s="810"/>
    </row>
    <row r="15" spans="1:5" ht="16.5" thickBot="1" x14ac:dyDescent="0.3">
      <c r="A15" s="796"/>
      <c r="B15" s="796"/>
    </row>
    <row r="16" spans="1:5" ht="15.75" thickBot="1" x14ac:dyDescent="0.25">
      <c r="A16" s="1324" t="s">
        <v>887</v>
      </c>
      <c r="B16" s="1325"/>
      <c r="C16" s="1325"/>
      <c r="D16" s="1325"/>
      <c r="E16" s="1325"/>
    </row>
    <row r="17" spans="1:5" ht="15.75" thickBot="1" x14ac:dyDescent="0.25">
      <c r="A17" s="755" t="s">
        <v>196</v>
      </c>
      <c r="B17" s="755" t="s">
        <v>1062</v>
      </c>
      <c r="C17" s="755" t="s">
        <v>1238</v>
      </c>
      <c r="D17" s="755" t="s">
        <v>1172</v>
      </c>
      <c r="E17" s="810" t="s">
        <v>1095</v>
      </c>
    </row>
    <row r="18" spans="1:5" x14ac:dyDescent="0.2">
      <c r="A18" s="799" t="s">
        <v>1274</v>
      </c>
      <c r="B18" s="806">
        <v>10</v>
      </c>
      <c r="C18" s="802">
        <v>754618339</v>
      </c>
      <c r="D18" s="802">
        <v>651184360</v>
      </c>
      <c r="E18" s="812">
        <f>+C18-D18</f>
        <v>103433979</v>
      </c>
    </row>
    <row r="19" spans="1:5" x14ac:dyDescent="0.2">
      <c r="A19" s="800" t="s">
        <v>1275</v>
      </c>
      <c r="B19" s="807">
        <v>10</v>
      </c>
      <c r="C19" s="803">
        <v>996912270</v>
      </c>
      <c r="D19" s="803">
        <v>787575585</v>
      </c>
      <c r="E19" s="813">
        <f>+C19-D19</f>
        <v>209336685</v>
      </c>
    </row>
    <row r="20" spans="1:5" x14ac:dyDescent="0.2">
      <c r="A20" s="800" t="s">
        <v>1276</v>
      </c>
      <c r="B20" s="807">
        <v>10</v>
      </c>
      <c r="C20" s="803">
        <v>162846524</v>
      </c>
      <c r="D20" s="803">
        <v>75508366</v>
      </c>
      <c r="E20" s="813">
        <f>+C20-D20</f>
        <v>87338158</v>
      </c>
    </row>
    <row r="21" spans="1:5" x14ac:dyDescent="0.2">
      <c r="A21" s="800" t="s">
        <v>1277</v>
      </c>
      <c r="B21" s="807">
        <v>10</v>
      </c>
      <c r="C21" s="803">
        <v>24015537</v>
      </c>
      <c r="D21" s="803">
        <v>36873861</v>
      </c>
      <c r="E21" s="813">
        <f>+C21-D21</f>
        <v>-12858324</v>
      </c>
    </row>
    <row r="22" spans="1:5" ht="15.75" thickBot="1" x14ac:dyDescent="0.25">
      <c r="A22" s="801" t="s">
        <v>1278</v>
      </c>
      <c r="B22" s="808">
        <v>10</v>
      </c>
      <c r="C22" s="804">
        <v>37724786</v>
      </c>
      <c r="D22" s="804">
        <v>34132494</v>
      </c>
      <c r="E22" s="814">
        <f>+C22-D22</f>
        <v>3592292</v>
      </c>
    </row>
    <row r="23" spans="1:5" ht="15.75" thickBot="1" x14ac:dyDescent="0.25">
      <c r="A23" s="755" t="s">
        <v>1279</v>
      </c>
      <c r="B23" s="755"/>
      <c r="C23" s="798">
        <f>SUM(C18:C22)</f>
        <v>1976117456</v>
      </c>
      <c r="D23" s="798">
        <f>SUM(D18:D22)</f>
        <v>1585274666</v>
      </c>
      <c r="E23" s="810">
        <f>SUM(E18:E22)</f>
        <v>390842790</v>
      </c>
    </row>
    <row r="24" spans="1:5" ht="16.5" thickBot="1" x14ac:dyDescent="0.3">
      <c r="A24" s="796"/>
      <c r="B24" s="796"/>
    </row>
    <row r="25" spans="1:5" ht="15.75" thickBot="1" x14ac:dyDescent="0.25">
      <c r="A25" s="755" t="s">
        <v>1281</v>
      </c>
      <c r="B25" s="755" t="s">
        <v>1062</v>
      </c>
      <c r="C25" s="755" t="s">
        <v>1238</v>
      </c>
      <c r="D25" s="755" t="s">
        <v>1172</v>
      </c>
      <c r="E25" s="810" t="s">
        <v>1095</v>
      </c>
    </row>
    <row r="26" spans="1:5" ht="15.75" thickBot="1" x14ac:dyDescent="0.25">
      <c r="A26" s="801" t="s">
        <v>1280</v>
      </c>
      <c r="B26" s="808">
        <v>10</v>
      </c>
      <c r="C26" s="804">
        <v>70534365</v>
      </c>
      <c r="D26" s="804">
        <v>62850279</v>
      </c>
      <c r="E26" s="814">
        <f>+C26-D26</f>
        <v>7684086</v>
      </c>
    </row>
    <row r="27" spans="1:5" ht="15.75" thickBot="1" x14ac:dyDescent="0.25">
      <c r="A27" s="755" t="s">
        <v>1282</v>
      </c>
      <c r="B27" s="755"/>
      <c r="C27" s="798">
        <f>SUM(C26)</f>
        <v>70534365</v>
      </c>
      <c r="D27" s="798">
        <f>SUM(D26)</f>
        <v>62850279</v>
      </c>
      <c r="E27" s="810">
        <f>SUM(E26)</f>
        <v>7684086</v>
      </c>
    </row>
    <row r="28" spans="1:5" ht="16.5" thickBot="1" x14ac:dyDescent="0.3">
      <c r="A28" s="796"/>
      <c r="B28" s="796"/>
    </row>
    <row r="29" spans="1:5" ht="15.75" thickBot="1" x14ac:dyDescent="0.25">
      <c r="A29" s="1324" t="s">
        <v>1097</v>
      </c>
      <c r="B29" s="1325"/>
      <c r="C29" s="1325"/>
      <c r="D29" s="1325"/>
      <c r="E29" s="1325"/>
    </row>
    <row r="30" spans="1:5" ht="15.75" thickBot="1" x14ac:dyDescent="0.25">
      <c r="A30" s="755" t="s">
        <v>1283</v>
      </c>
      <c r="B30" s="755" t="s">
        <v>1062</v>
      </c>
      <c r="C30" s="755" t="s">
        <v>1238</v>
      </c>
      <c r="D30" s="755" t="s">
        <v>1172</v>
      </c>
      <c r="E30" s="810" t="s">
        <v>1095</v>
      </c>
    </row>
    <row r="31" spans="1:5" ht="15.75" thickBot="1" x14ac:dyDescent="0.25">
      <c r="A31" s="801" t="s">
        <v>1284</v>
      </c>
      <c r="B31" s="808">
        <v>9</v>
      </c>
      <c r="C31" s="804">
        <v>1134652937</v>
      </c>
      <c r="D31" s="804">
        <v>1153374608</v>
      </c>
      <c r="E31" s="814">
        <f>+C31-D31</f>
        <v>-18721671</v>
      </c>
    </row>
    <row r="32" spans="1:5" ht="15.75" thickBot="1" x14ac:dyDescent="0.25">
      <c r="A32" s="755" t="s">
        <v>1285</v>
      </c>
      <c r="B32" s="755"/>
      <c r="C32" s="798">
        <f>SUM(C31)</f>
        <v>1134652937</v>
      </c>
      <c r="D32" s="798">
        <f>SUM(D31)</f>
        <v>1153374608</v>
      </c>
      <c r="E32" s="810">
        <f>SUM(E31)</f>
        <v>-18721671</v>
      </c>
    </row>
    <row r="33" spans="1:5" ht="16.5" thickBot="1" x14ac:dyDescent="0.3">
      <c r="A33" s="796"/>
      <c r="B33" s="796"/>
    </row>
    <row r="34" spans="1:5" ht="15.75" thickBot="1" x14ac:dyDescent="0.25">
      <c r="A34" s="756" t="s">
        <v>109</v>
      </c>
      <c r="B34" s="756"/>
      <c r="C34" s="757">
        <f>+C14-C23-C27-C32</f>
        <v>194894650</v>
      </c>
      <c r="D34" s="757">
        <f>+D14-D23-D27-D32</f>
        <v>133180129</v>
      </c>
      <c r="E34" s="815">
        <f>+C34-D34</f>
        <v>61714521</v>
      </c>
    </row>
    <row r="35" spans="1:5" ht="15.75" x14ac:dyDescent="0.25">
      <c r="A35" s="796"/>
      <c r="B35" s="796"/>
    </row>
    <row r="36" spans="1:5" ht="15.75" x14ac:dyDescent="0.25">
      <c r="A36" s="796"/>
      <c r="B36" s="796"/>
    </row>
    <row r="37" spans="1:5" ht="15.75" x14ac:dyDescent="0.25">
      <c r="A37" s="796"/>
      <c r="B37" s="796"/>
    </row>
    <row r="38" spans="1:5" x14ac:dyDescent="0.2">
      <c r="A38" s="643" t="s">
        <v>1091</v>
      </c>
      <c r="B38" s="644" t="s">
        <v>1171</v>
      </c>
      <c r="C38" s="644"/>
      <c r="D38" s="644" t="s">
        <v>258</v>
      </c>
    </row>
    <row r="39" spans="1:5" x14ac:dyDescent="0.2">
      <c r="A39" s="643" t="s">
        <v>1092</v>
      </c>
      <c r="B39" s="647" t="s">
        <v>1287</v>
      </c>
      <c r="C39" s="646"/>
      <c r="D39" s="647" t="s">
        <v>1093</v>
      </c>
    </row>
    <row r="40" spans="1:5" x14ac:dyDescent="0.2">
      <c r="A40" s="643"/>
      <c r="B40" s="643"/>
      <c r="C40" s="643"/>
      <c r="D40" s="644" t="s">
        <v>1094</v>
      </c>
    </row>
    <row r="41" spans="1:5" x14ac:dyDescent="0.2">
      <c r="A41" s="648"/>
      <c r="B41" s="648"/>
      <c r="C41" s="744"/>
      <c r="D41" s="654"/>
    </row>
    <row r="42" spans="1:5" ht="15.75" x14ac:dyDescent="0.25">
      <c r="A42" s="796"/>
      <c r="B42" s="796"/>
    </row>
    <row r="43" spans="1:5" ht="15.75" x14ac:dyDescent="0.25">
      <c r="A43" s="796"/>
      <c r="B43" s="796"/>
    </row>
    <row r="44" spans="1:5" ht="15.75" x14ac:dyDescent="0.25">
      <c r="A44" s="796"/>
      <c r="B44" s="796"/>
    </row>
    <row r="45" spans="1:5" ht="15.75" x14ac:dyDescent="0.25">
      <c r="A45" s="796"/>
      <c r="B45" s="796"/>
    </row>
    <row r="46" spans="1:5" ht="15.75" x14ac:dyDescent="0.25">
      <c r="A46" s="796"/>
      <c r="B46" s="796"/>
    </row>
    <row r="47" spans="1:5" ht="15.75" x14ac:dyDescent="0.25">
      <c r="A47" s="796"/>
      <c r="B47" s="796"/>
    </row>
    <row r="48" spans="1:5" ht="15.75" x14ac:dyDescent="0.25">
      <c r="A48" s="796"/>
      <c r="B48" s="796"/>
    </row>
    <row r="49" spans="1:2" ht="15.75" x14ac:dyDescent="0.25">
      <c r="A49" s="796"/>
      <c r="B49" s="796"/>
    </row>
    <row r="50" spans="1:2" ht="15.75" x14ac:dyDescent="0.25">
      <c r="A50" s="796"/>
      <c r="B50" s="796"/>
    </row>
    <row r="51" spans="1:2" ht="15.75" x14ac:dyDescent="0.25">
      <c r="A51" s="796"/>
      <c r="B51" s="796"/>
    </row>
    <row r="52" spans="1:2" ht="15.75" x14ac:dyDescent="0.25">
      <c r="A52" s="796"/>
      <c r="B52" s="796"/>
    </row>
    <row r="53" spans="1:2" ht="15.75" x14ac:dyDescent="0.25">
      <c r="A53" s="796"/>
      <c r="B53" s="796"/>
    </row>
    <row r="54" spans="1:2" ht="15.75" x14ac:dyDescent="0.25">
      <c r="A54" s="796"/>
      <c r="B54" s="796"/>
    </row>
    <row r="55" spans="1:2" ht="15.75" x14ac:dyDescent="0.25">
      <c r="A55" s="796"/>
      <c r="B55" s="796"/>
    </row>
    <row r="56" spans="1:2" ht="15.75" x14ac:dyDescent="0.25">
      <c r="A56" s="796"/>
      <c r="B56" s="796"/>
    </row>
    <row r="57" spans="1:2" ht="15.75" x14ac:dyDescent="0.25">
      <c r="A57" s="796"/>
      <c r="B57" s="796"/>
    </row>
    <row r="58" spans="1:2" ht="15.75" x14ac:dyDescent="0.25">
      <c r="A58" s="796"/>
      <c r="B58" s="796"/>
    </row>
    <row r="59" spans="1:2" ht="15.75" x14ac:dyDescent="0.25">
      <c r="A59" s="796"/>
      <c r="B59" s="796"/>
    </row>
    <row r="60" spans="1:2" ht="15.75" x14ac:dyDescent="0.25">
      <c r="A60" s="796"/>
      <c r="B60" s="796"/>
    </row>
    <row r="61" spans="1:2" ht="15.75" x14ac:dyDescent="0.25">
      <c r="A61" s="796"/>
      <c r="B61" s="796"/>
    </row>
    <row r="62" spans="1:2" ht="15.75" x14ac:dyDescent="0.25">
      <c r="A62" s="796"/>
      <c r="B62" s="796"/>
    </row>
    <row r="63" spans="1:2" ht="15.75" x14ac:dyDescent="0.25">
      <c r="A63" s="796"/>
      <c r="B63" s="796"/>
    </row>
    <row r="64" spans="1:2" ht="15.75" x14ac:dyDescent="0.25">
      <c r="A64" s="796"/>
      <c r="B64" s="796"/>
    </row>
    <row r="65" spans="1:2" ht="15.75" x14ac:dyDescent="0.25">
      <c r="A65" s="796"/>
      <c r="B65" s="796"/>
    </row>
    <row r="66" spans="1:2" ht="15.75" x14ac:dyDescent="0.25">
      <c r="A66" s="796"/>
      <c r="B66" s="796"/>
    </row>
    <row r="67" spans="1:2" ht="15.75" x14ac:dyDescent="0.25">
      <c r="A67" s="796"/>
      <c r="B67" s="796"/>
    </row>
    <row r="68" spans="1:2" ht="15.75" x14ac:dyDescent="0.25">
      <c r="A68" s="796"/>
      <c r="B68" s="796"/>
    </row>
    <row r="69" spans="1:2" ht="15.75" x14ac:dyDescent="0.25">
      <c r="A69" s="796"/>
      <c r="B69" s="796"/>
    </row>
    <row r="70" spans="1:2" ht="15.75" x14ac:dyDescent="0.25">
      <c r="A70" s="796"/>
      <c r="B70" s="796"/>
    </row>
    <row r="71" spans="1:2" ht="15.75" x14ac:dyDescent="0.25">
      <c r="A71" s="796"/>
      <c r="B71" s="796"/>
    </row>
    <row r="72" spans="1:2" ht="15.75" x14ac:dyDescent="0.25">
      <c r="A72" s="796"/>
      <c r="B72" s="796"/>
    </row>
    <row r="73" spans="1:2" ht="15.75" x14ac:dyDescent="0.25">
      <c r="A73" s="796"/>
      <c r="B73" s="796"/>
    </row>
    <row r="74" spans="1:2" ht="15.75" x14ac:dyDescent="0.25">
      <c r="A74" s="796"/>
      <c r="B74" s="796"/>
    </row>
    <row r="75" spans="1:2" ht="15.75" x14ac:dyDescent="0.25">
      <c r="A75" s="796"/>
      <c r="B75" s="796"/>
    </row>
    <row r="76" spans="1:2" ht="15.75" x14ac:dyDescent="0.25">
      <c r="A76" s="796"/>
      <c r="B76" s="796"/>
    </row>
    <row r="77" spans="1:2" ht="15.75" x14ac:dyDescent="0.25">
      <c r="A77" s="796"/>
      <c r="B77" s="796"/>
    </row>
    <row r="78" spans="1:2" ht="15.75" x14ac:dyDescent="0.25">
      <c r="A78" s="796"/>
      <c r="B78" s="796"/>
    </row>
    <row r="79" spans="1:2" ht="15.75" x14ac:dyDescent="0.25">
      <c r="A79" s="796"/>
      <c r="B79" s="796"/>
    </row>
    <row r="80" spans="1:2" ht="15.75" x14ac:dyDescent="0.25">
      <c r="A80" s="796"/>
      <c r="B80" s="796"/>
    </row>
    <row r="81" spans="1:2" ht="15.75" x14ac:dyDescent="0.25">
      <c r="A81" s="796"/>
      <c r="B81" s="796"/>
    </row>
    <row r="82" spans="1:2" ht="15.75" x14ac:dyDescent="0.25">
      <c r="A82" s="796"/>
      <c r="B82" s="796"/>
    </row>
    <row r="83" spans="1:2" ht="15.75" x14ac:dyDescent="0.25">
      <c r="A83" s="796"/>
      <c r="B83" s="796"/>
    </row>
    <row r="84" spans="1:2" ht="15.75" x14ac:dyDescent="0.25">
      <c r="A84" s="796"/>
      <c r="B84" s="796"/>
    </row>
    <row r="85" spans="1:2" ht="15.75" x14ac:dyDescent="0.25">
      <c r="A85" s="796"/>
      <c r="B85" s="796"/>
    </row>
    <row r="86" spans="1:2" ht="15.75" x14ac:dyDescent="0.25">
      <c r="A86" s="796"/>
      <c r="B86" s="796"/>
    </row>
    <row r="87" spans="1:2" ht="15.75" x14ac:dyDescent="0.25">
      <c r="A87" s="796"/>
      <c r="B87" s="796"/>
    </row>
    <row r="88" spans="1:2" ht="15.75" x14ac:dyDescent="0.25">
      <c r="A88" s="796"/>
      <c r="B88" s="796"/>
    </row>
    <row r="89" spans="1:2" ht="15.75" x14ac:dyDescent="0.25">
      <c r="A89" s="796"/>
      <c r="B89" s="796"/>
    </row>
    <row r="90" spans="1:2" ht="15.75" x14ac:dyDescent="0.25">
      <c r="A90" s="796"/>
      <c r="B90" s="796"/>
    </row>
    <row r="91" spans="1:2" ht="15.75" x14ac:dyDescent="0.25">
      <c r="A91" s="796"/>
      <c r="B91" s="796"/>
    </row>
    <row r="92" spans="1:2" ht="15.75" x14ac:dyDescent="0.25">
      <c r="A92" s="796"/>
      <c r="B92" s="796"/>
    </row>
    <row r="93" spans="1:2" ht="15.75" x14ac:dyDescent="0.25">
      <c r="A93" s="796"/>
      <c r="B93" s="796"/>
    </row>
    <row r="94" spans="1:2" ht="15.75" x14ac:dyDescent="0.25">
      <c r="A94" s="796"/>
      <c r="B94" s="796"/>
    </row>
    <row r="95" spans="1:2" ht="15.75" x14ac:dyDescent="0.25">
      <c r="A95" s="796"/>
      <c r="B95" s="796"/>
    </row>
    <row r="96" spans="1:2" ht="15.75" x14ac:dyDescent="0.25">
      <c r="A96" s="796"/>
      <c r="B96" s="796"/>
    </row>
    <row r="97" spans="1:2" ht="15.75" x14ac:dyDescent="0.25">
      <c r="A97" s="796"/>
      <c r="B97" s="796"/>
    </row>
    <row r="98" spans="1:2" ht="15.75" x14ac:dyDescent="0.25">
      <c r="A98" s="796"/>
      <c r="B98" s="796"/>
    </row>
    <row r="99" spans="1:2" ht="15.75" x14ac:dyDescent="0.25">
      <c r="A99" s="796"/>
      <c r="B99" s="796"/>
    </row>
    <row r="100" spans="1:2" ht="15.75" x14ac:dyDescent="0.25">
      <c r="A100" s="796"/>
      <c r="B100" s="796"/>
    </row>
    <row r="101" spans="1:2" ht="15.75" x14ac:dyDescent="0.25">
      <c r="A101" s="796"/>
      <c r="B101" s="796"/>
    </row>
    <row r="102" spans="1:2" ht="15.75" x14ac:dyDescent="0.25">
      <c r="A102" s="796"/>
      <c r="B102" s="796"/>
    </row>
    <row r="103" spans="1:2" ht="15.75" x14ac:dyDescent="0.25">
      <c r="A103" s="796"/>
      <c r="B103" s="796"/>
    </row>
    <row r="104" spans="1:2" ht="15.75" x14ac:dyDescent="0.25">
      <c r="A104" s="796"/>
      <c r="B104" s="796"/>
    </row>
    <row r="105" spans="1:2" ht="15.75" x14ac:dyDescent="0.25">
      <c r="A105" s="796"/>
      <c r="B105" s="796"/>
    </row>
    <row r="106" spans="1:2" ht="15.75" x14ac:dyDescent="0.25">
      <c r="A106" s="796"/>
      <c r="B106" s="796"/>
    </row>
    <row r="107" spans="1:2" ht="15.75" x14ac:dyDescent="0.25">
      <c r="A107" s="796"/>
      <c r="B107" s="796"/>
    </row>
    <row r="108" spans="1:2" ht="15.75" x14ac:dyDescent="0.25">
      <c r="A108" s="796"/>
      <c r="B108" s="796"/>
    </row>
    <row r="109" spans="1:2" ht="15.75" x14ac:dyDescent="0.25">
      <c r="A109" s="796"/>
      <c r="B109" s="796"/>
    </row>
    <row r="110" spans="1:2" ht="15.75" x14ac:dyDescent="0.25">
      <c r="A110" s="796"/>
      <c r="B110" s="796"/>
    </row>
    <row r="111" spans="1:2" ht="15.75" x14ac:dyDescent="0.25">
      <c r="A111" s="796"/>
      <c r="B111" s="796"/>
    </row>
    <row r="112" spans="1:2" ht="15.75" x14ac:dyDescent="0.25">
      <c r="A112" s="796"/>
      <c r="B112" s="796"/>
    </row>
    <row r="113" spans="1:2" ht="15.75" x14ac:dyDescent="0.25">
      <c r="A113" s="796"/>
      <c r="B113" s="796"/>
    </row>
    <row r="114" spans="1:2" ht="15.75" x14ac:dyDescent="0.25">
      <c r="A114" s="796"/>
      <c r="B114" s="796"/>
    </row>
    <row r="115" spans="1:2" ht="15.75" x14ac:dyDescent="0.25">
      <c r="A115" s="796"/>
      <c r="B115" s="796"/>
    </row>
    <row r="116" spans="1:2" ht="15.75" x14ac:dyDescent="0.25">
      <c r="A116" s="796"/>
      <c r="B116" s="796"/>
    </row>
    <row r="117" spans="1:2" ht="15.75" x14ac:dyDescent="0.25">
      <c r="A117" s="796"/>
      <c r="B117" s="796"/>
    </row>
    <row r="118" spans="1:2" ht="15.75" x14ac:dyDescent="0.25">
      <c r="A118" s="796"/>
      <c r="B118" s="796"/>
    </row>
    <row r="119" spans="1:2" ht="15.75" x14ac:dyDescent="0.25">
      <c r="A119" s="796"/>
      <c r="B119" s="796"/>
    </row>
    <row r="120" spans="1:2" ht="15.75" x14ac:dyDescent="0.25">
      <c r="A120" s="796"/>
      <c r="B120" s="796"/>
    </row>
    <row r="121" spans="1:2" ht="15.75" x14ac:dyDescent="0.25">
      <c r="A121" s="796"/>
      <c r="B121" s="796"/>
    </row>
    <row r="122" spans="1:2" ht="15.75" x14ac:dyDescent="0.25">
      <c r="A122" s="796"/>
      <c r="B122" s="796"/>
    </row>
    <row r="123" spans="1:2" ht="15.75" x14ac:dyDescent="0.25">
      <c r="A123" s="796"/>
      <c r="B123" s="796"/>
    </row>
    <row r="124" spans="1:2" ht="15.75" x14ac:dyDescent="0.25">
      <c r="A124" s="796"/>
      <c r="B124" s="796"/>
    </row>
    <row r="125" spans="1:2" ht="15.75" x14ac:dyDescent="0.25">
      <c r="A125" s="796"/>
      <c r="B125" s="796"/>
    </row>
    <row r="126" spans="1:2" ht="15.75" x14ac:dyDescent="0.25">
      <c r="A126" s="796"/>
      <c r="B126" s="796"/>
    </row>
    <row r="127" spans="1:2" ht="15.75" x14ac:dyDescent="0.25">
      <c r="A127" s="796"/>
      <c r="B127" s="796"/>
    </row>
    <row r="128" spans="1:2" ht="15.75" x14ac:dyDescent="0.25">
      <c r="A128" s="796"/>
      <c r="B128" s="796"/>
    </row>
    <row r="129" spans="1:2" ht="15.75" x14ac:dyDescent="0.25">
      <c r="A129" s="796"/>
      <c r="B129" s="796"/>
    </row>
    <row r="130" spans="1:2" ht="15.75" x14ac:dyDescent="0.25">
      <c r="A130" s="796"/>
      <c r="B130" s="796"/>
    </row>
    <row r="131" spans="1:2" ht="15.75" x14ac:dyDescent="0.25">
      <c r="A131" s="796"/>
      <c r="B131" s="796"/>
    </row>
    <row r="132" spans="1:2" ht="15.75" x14ac:dyDescent="0.25">
      <c r="A132" s="796"/>
      <c r="B132" s="796"/>
    </row>
    <row r="133" spans="1:2" ht="15.75" x14ac:dyDescent="0.25">
      <c r="A133" s="796"/>
      <c r="B133" s="796"/>
    </row>
    <row r="134" spans="1:2" ht="15.75" x14ac:dyDescent="0.25">
      <c r="A134" s="796"/>
      <c r="B134" s="796"/>
    </row>
    <row r="135" spans="1:2" ht="15.75" x14ac:dyDescent="0.25">
      <c r="A135" s="796"/>
      <c r="B135" s="796"/>
    </row>
    <row r="136" spans="1:2" ht="15.75" x14ac:dyDescent="0.25">
      <c r="A136" s="796"/>
      <c r="B136" s="796"/>
    </row>
    <row r="137" spans="1:2" ht="15.75" x14ac:dyDescent="0.25">
      <c r="A137" s="796"/>
      <c r="B137" s="796"/>
    </row>
    <row r="138" spans="1:2" ht="15.75" x14ac:dyDescent="0.25">
      <c r="A138" s="796"/>
      <c r="B138" s="796"/>
    </row>
    <row r="139" spans="1:2" ht="15.75" x14ac:dyDescent="0.25">
      <c r="A139" s="796"/>
      <c r="B139" s="796"/>
    </row>
    <row r="140" spans="1:2" ht="15.75" x14ac:dyDescent="0.25">
      <c r="A140" s="796"/>
      <c r="B140" s="796"/>
    </row>
    <row r="141" spans="1:2" ht="15.75" x14ac:dyDescent="0.25">
      <c r="A141" s="796"/>
      <c r="B141" s="796"/>
    </row>
    <row r="142" spans="1:2" ht="15.75" x14ac:dyDescent="0.25">
      <c r="A142" s="796"/>
      <c r="B142" s="796"/>
    </row>
    <row r="143" spans="1:2" ht="15.75" x14ac:dyDescent="0.25">
      <c r="A143" s="796"/>
      <c r="B143" s="796"/>
    </row>
    <row r="144" spans="1:2" ht="15.75" x14ac:dyDescent="0.25">
      <c r="A144" s="796"/>
      <c r="B144" s="796"/>
    </row>
    <row r="145" spans="1:2" ht="15.75" x14ac:dyDescent="0.25">
      <c r="A145" s="796"/>
      <c r="B145" s="796"/>
    </row>
    <row r="146" spans="1:2" ht="15.75" x14ac:dyDescent="0.25">
      <c r="A146" s="796"/>
      <c r="B146" s="796"/>
    </row>
    <row r="147" spans="1:2" ht="15.75" x14ac:dyDescent="0.25">
      <c r="A147" s="796"/>
      <c r="B147" s="796"/>
    </row>
    <row r="148" spans="1:2" ht="15.75" x14ac:dyDescent="0.25">
      <c r="A148" s="796"/>
      <c r="B148" s="796"/>
    </row>
    <row r="149" spans="1:2" ht="15.75" x14ac:dyDescent="0.25">
      <c r="A149" s="796"/>
      <c r="B149" s="796"/>
    </row>
    <row r="150" spans="1:2" ht="15.75" x14ac:dyDescent="0.25">
      <c r="A150" s="796"/>
      <c r="B150" s="796"/>
    </row>
    <row r="151" spans="1:2" ht="15.75" x14ac:dyDescent="0.25">
      <c r="A151" s="796"/>
      <c r="B151" s="796"/>
    </row>
    <row r="152" spans="1:2" ht="15.75" x14ac:dyDescent="0.25">
      <c r="A152" s="796"/>
      <c r="B152" s="796"/>
    </row>
    <row r="153" spans="1:2" ht="15.75" x14ac:dyDescent="0.25">
      <c r="A153" s="796"/>
      <c r="B153" s="796"/>
    </row>
    <row r="154" spans="1:2" ht="15.75" x14ac:dyDescent="0.25">
      <c r="A154" s="796"/>
      <c r="B154" s="796"/>
    </row>
    <row r="155" spans="1:2" ht="15.75" x14ac:dyDescent="0.25">
      <c r="A155" s="796"/>
      <c r="B155" s="796"/>
    </row>
    <row r="156" spans="1:2" ht="15.75" x14ac:dyDescent="0.25">
      <c r="A156" s="796"/>
      <c r="B156" s="796"/>
    </row>
    <row r="157" spans="1:2" ht="15.75" x14ac:dyDescent="0.25">
      <c r="A157" s="796"/>
      <c r="B157" s="796"/>
    </row>
    <row r="158" spans="1:2" ht="15.75" x14ac:dyDescent="0.25">
      <c r="A158" s="796"/>
      <c r="B158" s="796"/>
    </row>
    <row r="159" spans="1:2" ht="15.75" x14ac:dyDescent="0.25">
      <c r="A159" s="796"/>
      <c r="B159" s="796"/>
    </row>
    <row r="160" spans="1:2" ht="15.75" x14ac:dyDescent="0.25">
      <c r="A160" s="796"/>
      <c r="B160" s="796"/>
    </row>
    <row r="161" spans="1:2" ht="15.75" x14ac:dyDescent="0.25">
      <c r="A161" s="796"/>
      <c r="B161" s="796"/>
    </row>
    <row r="162" spans="1:2" ht="15.75" x14ac:dyDescent="0.25">
      <c r="A162" s="796"/>
      <c r="B162" s="796"/>
    </row>
    <row r="163" spans="1:2" ht="15.75" x14ac:dyDescent="0.25">
      <c r="A163" s="796"/>
      <c r="B163" s="796"/>
    </row>
    <row r="164" spans="1:2" ht="15.75" x14ac:dyDescent="0.25">
      <c r="A164" s="796"/>
      <c r="B164" s="796"/>
    </row>
    <row r="165" spans="1:2" ht="15.75" x14ac:dyDescent="0.25">
      <c r="A165" s="796"/>
      <c r="B165" s="796"/>
    </row>
    <row r="166" spans="1:2" ht="15.75" x14ac:dyDescent="0.25">
      <c r="A166" s="796"/>
      <c r="B166" s="796"/>
    </row>
    <row r="167" spans="1:2" ht="15.75" x14ac:dyDescent="0.25">
      <c r="A167" s="796"/>
      <c r="B167" s="796"/>
    </row>
    <row r="168" spans="1:2" ht="15.75" x14ac:dyDescent="0.25">
      <c r="A168" s="796"/>
      <c r="B168" s="796"/>
    </row>
    <row r="169" spans="1:2" ht="15.75" x14ac:dyDescent="0.25">
      <c r="A169" s="796"/>
      <c r="B169" s="796"/>
    </row>
    <row r="170" spans="1:2" ht="15.75" x14ac:dyDescent="0.25">
      <c r="A170" s="796"/>
      <c r="B170" s="796"/>
    </row>
    <row r="171" spans="1:2" ht="15.75" x14ac:dyDescent="0.25">
      <c r="A171" s="796"/>
      <c r="B171" s="796"/>
    </row>
    <row r="172" spans="1:2" ht="15.75" x14ac:dyDescent="0.25">
      <c r="A172" s="796"/>
      <c r="B172" s="796"/>
    </row>
    <row r="173" spans="1:2" ht="15.75" x14ac:dyDescent="0.25">
      <c r="A173" s="796"/>
      <c r="B173" s="796"/>
    </row>
    <row r="174" spans="1:2" ht="15.75" x14ac:dyDescent="0.25">
      <c r="A174" s="796"/>
      <c r="B174" s="796"/>
    </row>
    <row r="175" spans="1:2" ht="15.75" x14ac:dyDescent="0.25">
      <c r="A175" s="796"/>
      <c r="B175" s="796"/>
    </row>
    <row r="176" spans="1:2" ht="15.75" x14ac:dyDescent="0.25">
      <c r="A176" s="796"/>
      <c r="B176" s="796"/>
    </row>
    <row r="177" spans="1:2" ht="15.75" x14ac:dyDescent="0.25">
      <c r="A177" s="796"/>
      <c r="B177" s="796"/>
    </row>
    <row r="178" spans="1:2" ht="15.75" x14ac:dyDescent="0.25">
      <c r="A178" s="796"/>
      <c r="B178" s="796"/>
    </row>
    <row r="179" spans="1:2" ht="15.75" x14ac:dyDescent="0.25">
      <c r="A179" s="796"/>
      <c r="B179" s="796"/>
    </row>
    <row r="180" spans="1:2" ht="15.75" x14ac:dyDescent="0.25">
      <c r="A180" s="796"/>
      <c r="B180" s="796"/>
    </row>
    <row r="181" spans="1:2" ht="15.75" x14ac:dyDescent="0.25">
      <c r="A181" s="796"/>
      <c r="B181" s="796"/>
    </row>
    <row r="182" spans="1:2" ht="15.75" x14ac:dyDescent="0.25">
      <c r="A182" s="796"/>
      <c r="B182" s="796"/>
    </row>
    <row r="183" spans="1:2" ht="15.75" x14ac:dyDescent="0.25">
      <c r="A183" s="796"/>
      <c r="B183" s="796"/>
    </row>
    <row r="184" spans="1:2" ht="15.75" x14ac:dyDescent="0.25">
      <c r="A184" s="796"/>
      <c r="B184" s="796"/>
    </row>
    <row r="185" spans="1:2" ht="15.75" x14ac:dyDescent="0.25">
      <c r="A185" s="796"/>
      <c r="B185" s="796"/>
    </row>
    <row r="186" spans="1:2" ht="15.75" x14ac:dyDescent="0.25">
      <c r="A186" s="796"/>
      <c r="B186" s="796"/>
    </row>
    <row r="187" spans="1:2" ht="15.75" x14ac:dyDescent="0.25">
      <c r="A187" s="796"/>
      <c r="B187" s="796"/>
    </row>
    <row r="188" spans="1:2" ht="15.75" x14ac:dyDescent="0.25">
      <c r="A188" s="796"/>
      <c r="B188" s="796"/>
    </row>
    <row r="189" spans="1:2" ht="15.75" x14ac:dyDescent="0.25">
      <c r="A189" s="796"/>
      <c r="B189" s="796"/>
    </row>
    <row r="190" spans="1:2" ht="15.75" x14ac:dyDescent="0.25">
      <c r="A190" s="796"/>
      <c r="B190" s="796"/>
    </row>
    <row r="191" spans="1:2" ht="15.75" x14ac:dyDescent="0.25">
      <c r="A191" s="796"/>
      <c r="B191" s="796"/>
    </row>
    <row r="192" spans="1:2" ht="15.75" x14ac:dyDescent="0.25">
      <c r="A192" s="796"/>
      <c r="B192" s="796"/>
    </row>
    <row r="193" spans="1:2" ht="15.75" x14ac:dyDescent="0.25">
      <c r="A193" s="796"/>
      <c r="B193" s="796"/>
    </row>
    <row r="194" spans="1:2" ht="15.75" x14ac:dyDescent="0.25">
      <c r="A194" s="796"/>
      <c r="B194" s="796"/>
    </row>
    <row r="195" spans="1:2" ht="15.75" x14ac:dyDescent="0.25">
      <c r="A195" s="796"/>
      <c r="B195" s="796"/>
    </row>
    <row r="196" spans="1:2" ht="15.75" x14ac:dyDescent="0.25">
      <c r="A196" s="796"/>
      <c r="B196" s="796"/>
    </row>
    <row r="197" spans="1:2" ht="15.75" x14ac:dyDescent="0.25">
      <c r="A197" s="796"/>
      <c r="B197" s="796"/>
    </row>
    <row r="198" spans="1:2" ht="15.75" x14ac:dyDescent="0.25">
      <c r="A198" s="796"/>
      <c r="B198" s="796"/>
    </row>
    <row r="199" spans="1:2" ht="15.75" x14ac:dyDescent="0.25">
      <c r="A199" s="796"/>
      <c r="B199" s="796"/>
    </row>
    <row r="200" spans="1:2" ht="15.75" x14ac:dyDescent="0.25">
      <c r="A200" s="796"/>
      <c r="B200" s="796"/>
    </row>
    <row r="201" spans="1:2" ht="15.75" x14ac:dyDescent="0.25">
      <c r="A201" s="796"/>
      <c r="B201" s="796"/>
    </row>
    <row r="202" spans="1:2" ht="15.75" x14ac:dyDescent="0.25">
      <c r="A202" s="699"/>
      <c r="B202" s="699"/>
    </row>
    <row r="203" spans="1:2" ht="15.75" x14ac:dyDescent="0.25">
      <c r="A203" s="699"/>
      <c r="B203" s="699"/>
    </row>
    <row r="204" spans="1:2" ht="15.75" x14ac:dyDescent="0.25">
      <c r="A204" s="699"/>
      <c r="B204" s="699"/>
    </row>
    <row r="205" spans="1:2" ht="15.75" x14ac:dyDescent="0.25">
      <c r="A205" s="699"/>
      <c r="B205" s="699"/>
    </row>
  </sheetData>
  <mergeCells count="6">
    <mergeCell ref="A29:E29"/>
    <mergeCell ref="A1:D1"/>
    <mergeCell ref="A2:D2"/>
    <mergeCell ref="A3:D3"/>
    <mergeCell ref="A5:E5"/>
    <mergeCell ref="A16:E16"/>
  </mergeCells>
  <pageMargins left="0.7" right="0.7" top="0.75" bottom="0.75" header="0.3" footer="0.3"/>
  <pageSetup scale="85"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pageSetUpPr fitToPage="1"/>
  </sheetPr>
  <dimension ref="A1:G99"/>
  <sheetViews>
    <sheetView topLeftCell="A52" zoomScaleNormal="100" workbookViewId="0">
      <selection activeCell="B7" sqref="B7"/>
    </sheetView>
  </sheetViews>
  <sheetFormatPr baseColWidth="10" defaultRowHeight="11.25" customHeight="1" x14ac:dyDescent="0.2"/>
  <cols>
    <col min="1" max="1" width="24.77734375" style="1" customWidth="1"/>
    <col min="2" max="2" width="13.33203125" style="1" bestFit="1" customWidth="1"/>
    <col min="3" max="3" width="14.33203125" style="1" customWidth="1"/>
    <col min="4" max="4" width="13.5546875" style="5" customWidth="1"/>
    <col min="5" max="5" width="13.33203125" style="1" customWidth="1"/>
    <col min="6" max="7" width="11.5546875" style="1"/>
    <col min="8" max="9" width="12.88671875" style="1" customWidth="1"/>
    <col min="10" max="16384" width="11.5546875" style="1"/>
  </cols>
  <sheetData>
    <row r="1" spans="1:7" ht="15.75" x14ac:dyDescent="0.25">
      <c r="A1" s="1196" t="s">
        <v>216</v>
      </c>
      <c r="B1" s="1196"/>
      <c r="C1" s="1196"/>
      <c r="D1" s="1196"/>
      <c r="E1" s="1196"/>
      <c r="F1" s="1196"/>
    </row>
    <row r="2" spans="1:7" ht="14.25" customHeight="1" x14ac:dyDescent="0.25">
      <c r="A2" s="1196" t="s">
        <v>378</v>
      </c>
      <c r="B2" s="1196"/>
      <c r="C2" s="1196"/>
      <c r="D2" s="1196"/>
      <c r="E2" s="1196"/>
      <c r="F2" s="1196"/>
    </row>
    <row r="3" spans="1:7" ht="14.25" customHeight="1" thickBot="1" x14ac:dyDescent="0.25"/>
    <row r="4" spans="1:7" ht="11.25" customHeight="1" thickBot="1" x14ac:dyDescent="0.25">
      <c r="A4" s="4"/>
      <c r="B4" s="69">
        <v>40513</v>
      </c>
      <c r="C4" s="70">
        <v>2009</v>
      </c>
      <c r="D4" s="71">
        <v>2008</v>
      </c>
      <c r="E4" s="72">
        <v>2007</v>
      </c>
      <c r="F4" s="73">
        <v>2006</v>
      </c>
    </row>
    <row r="5" spans="1:7" ht="11.25" customHeight="1" thickBot="1" x14ac:dyDescent="0.25">
      <c r="A5" s="66" t="s">
        <v>50</v>
      </c>
      <c r="B5" s="68"/>
      <c r="C5" s="67"/>
      <c r="D5" s="50"/>
      <c r="E5" s="50"/>
      <c r="F5" s="50"/>
    </row>
    <row r="6" spans="1:7" ht="11.25" customHeight="1" x14ac:dyDescent="0.2">
      <c r="A6" s="9"/>
      <c r="B6" s="51"/>
      <c r="C6" s="11"/>
      <c r="D6" s="11"/>
      <c r="E6" s="11"/>
      <c r="F6" s="11"/>
    </row>
    <row r="7" spans="1:7" ht="11.25" customHeight="1" x14ac:dyDescent="0.2">
      <c r="A7" s="12" t="s">
        <v>51</v>
      </c>
      <c r="B7" s="11">
        <v>1228990259.48</v>
      </c>
      <c r="C7" s="11">
        <v>935740249.69000006</v>
      </c>
      <c r="D7" s="11">
        <v>772540022.73000002</v>
      </c>
      <c r="E7" s="11">
        <v>690896252</v>
      </c>
      <c r="F7" s="11">
        <v>532025896.70999998</v>
      </c>
    </row>
    <row r="8" spans="1:7" ht="12" x14ac:dyDescent="0.2">
      <c r="A8" s="12"/>
      <c r="B8" s="10"/>
      <c r="C8" s="11"/>
      <c r="D8" s="11"/>
      <c r="E8" s="11"/>
      <c r="F8" s="11"/>
    </row>
    <row r="9" spans="1:7" ht="12.75" thickBot="1" x14ac:dyDescent="0.25">
      <c r="A9" s="13"/>
      <c r="B9" s="14"/>
      <c r="C9" s="15"/>
      <c r="D9" s="16"/>
      <c r="E9" s="16"/>
      <c r="F9" s="16"/>
    </row>
    <row r="10" spans="1:7" ht="11.25" customHeight="1" thickBot="1" x14ac:dyDescent="0.25">
      <c r="A10" s="17" t="s">
        <v>52</v>
      </c>
      <c r="B10" s="18">
        <f>SUM(B6:B9)</f>
        <v>1228990259.48</v>
      </c>
      <c r="C10" s="18">
        <f>SUM(C6:C9)</f>
        <v>935740249.69000006</v>
      </c>
      <c r="D10" s="18">
        <f>SUM(D6:D9)</f>
        <v>772540022.73000002</v>
      </c>
      <c r="E10" s="18">
        <f>SUM(E6:E9)</f>
        <v>690896252</v>
      </c>
      <c r="F10" s="18">
        <f>SUM(F6:F9)</f>
        <v>532025896.70999998</v>
      </c>
    </row>
    <row r="11" spans="1:7" ht="12" x14ac:dyDescent="0.2">
      <c r="A11" s="19"/>
      <c r="B11" s="20"/>
      <c r="C11" s="21"/>
      <c r="D11" s="22"/>
    </row>
    <row r="12" spans="1:7" ht="11.25" customHeight="1" thickBot="1" x14ac:dyDescent="0.25">
      <c r="A12" s="19"/>
      <c r="B12" s="20"/>
      <c r="C12" s="21"/>
      <c r="D12" s="22"/>
    </row>
    <row r="13" spans="1:7" ht="11.25" customHeight="1" thickBot="1" x14ac:dyDescent="0.25">
      <c r="A13" s="8" t="s">
        <v>53</v>
      </c>
      <c r="B13" s="53"/>
      <c r="C13" s="7"/>
      <c r="D13" s="22"/>
    </row>
    <row r="14" spans="1:7" ht="11.25" customHeight="1" x14ac:dyDescent="0.2">
      <c r="A14" s="9" t="s">
        <v>37</v>
      </c>
      <c r="B14" s="11">
        <v>259425235.05000001</v>
      </c>
      <c r="C14" s="11">
        <v>180852158.39000002</v>
      </c>
      <c r="D14" s="11">
        <v>52764017</v>
      </c>
      <c r="E14" s="11">
        <v>36346968</v>
      </c>
      <c r="F14" s="11">
        <v>15495477.91</v>
      </c>
      <c r="G14" s="5"/>
    </row>
    <row r="15" spans="1:7" ht="11.25" customHeight="1" x14ac:dyDescent="0.2">
      <c r="A15" s="12" t="s">
        <v>54</v>
      </c>
      <c r="B15" s="11">
        <v>68478054</v>
      </c>
      <c r="C15" s="11">
        <v>59942113</v>
      </c>
      <c r="D15" s="11">
        <v>55000000</v>
      </c>
      <c r="E15" s="11">
        <v>58927854</v>
      </c>
      <c r="F15" s="11">
        <v>38955523.490000002</v>
      </c>
    </row>
    <row r="16" spans="1:7" ht="11.25" customHeight="1" x14ac:dyDescent="0.2">
      <c r="A16" s="12" t="s">
        <v>55</v>
      </c>
      <c r="B16" s="11">
        <v>75796499</v>
      </c>
      <c r="C16" s="11">
        <v>103311844</v>
      </c>
      <c r="D16" s="11">
        <v>130478701</v>
      </c>
      <c r="E16" s="11">
        <v>105377146</v>
      </c>
      <c r="F16" s="11">
        <v>39198546</v>
      </c>
      <c r="G16" s="74">
        <v>33680218.044660002</v>
      </c>
    </row>
    <row r="17" spans="1:6" ht="11.25" customHeight="1" thickBot="1" x14ac:dyDescent="0.25">
      <c r="A17" s="13" t="s">
        <v>56</v>
      </c>
      <c r="B17" s="14"/>
      <c r="C17" s="15"/>
      <c r="D17" s="15">
        <v>4997012</v>
      </c>
      <c r="E17" s="11">
        <v>2478242</v>
      </c>
      <c r="F17" s="11"/>
    </row>
    <row r="18" spans="1:6" ht="11.25" customHeight="1" thickBot="1" x14ac:dyDescent="0.25">
      <c r="A18" s="23" t="s">
        <v>57</v>
      </c>
      <c r="B18" s="18">
        <f>SUM(B14:B17)</f>
        <v>403699788.05000001</v>
      </c>
      <c r="C18" s="18">
        <f>SUM(C14:C17)</f>
        <v>344106115.38999999</v>
      </c>
      <c r="D18" s="18">
        <f>SUM(D14:D17)</f>
        <v>243239730</v>
      </c>
      <c r="E18" s="18">
        <f>SUM(E14:E17)</f>
        <v>203130210</v>
      </c>
      <c r="F18" s="18">
        <f>SUM(F14:F17)</f>
        <v>93649547.400000006</v>
      </c>
    </row>
    <row r="19" spans="1:6" ht="11.25" customHeight="1" thickBot="1" x14ac:dyDescent="0.25">
      <c r="A19" s="19"/>
      <c r="B19" s="20"/>
      <c r="C19" s="21"/>
      <c r="D19" s="22"/>
    </row>
    <row r="20" spans="1:6" ht="11.25" customHeight="1" thickBot="1" x14ac:dyDescent="0.25">
      <c r="A20" s="23" t="s">
        <v>58</v>
      </c>
      <c r="B20" s="24">
        <f>+B10-B18</f>
        <v>825290471.43000007</v>
      </c>
      <c r="C20" s="24">
        <f>+C10-C18</f>
        <v>591634134.30000007</v>
      </c>
      <c r="D20" s="24">
        <f>+D10-D18</f>
        <v>529300292.73000002</v>
      </c>
      <c r="E20" s="24">
        <f>+E10-E18</f>
        <v>487766042</v>
      </c>
      <c r="F20" s="24">
        <v>438376349.30999994</v>
      </c>
    </row>
    <row r="21" spans="1:6" ht="11.25" customHeight="1" thickBot="1" x14ac:dyDescent="0.25">
      <c r="A21" s="19"/>
      <c r="B21" s="20"/>
      <c r="C21" s="21"/>
      <c r="D21" s="22"/>
    </row>
    <row r="22" spans="1:6" ht="11.25" customHeight="1" thickBot="1" x14ac:dyDescent="0.25">
      <c r="A22" s="8" t="s">
        <v>59</v>
      </c>
      <c r="B22" s="53"/>
      <c r="C22" s="7"/>
      <c r="D22" s="22"/>
    </row>
    <row r="23" spans="1:6" s="2" customFormat="1" ht="11.25" customHeight="1" x14ac:dyDescent="0.2">
      <c r="A23" s="9" t="s">
        <v>60</v>
      </c>
      <c r="B23" s="11">
        <v>145759424.19999999</v>
      </c>
      <c r="C23" s="11">
        <v>130678831</v>
      </c>
      <c r="D23" s="11">
        <v>105704332</v>
      </c>
      <c r="E23" s="11">
        <v>64871089</v>
      </c>
      <c r="F23" s="11">
        <v>59485735</v>
      </c>
    </row>
    <row r="24" spans="1:6" s="2" customFormat="1" ht="11.25" customHeight="1" x14ac:dyDescent="0.2">
      <c r="A24" s="12" t="s">
        <v>61</v>
      </c>
      <c r="B24" s="11">
        <v>5214328</v>
      </c>
      <c r="C24" s="11">
        <v>4994000</v>
      </c>
      <c r="D24" s="11">
        <v>3274333</v>
      </c>
      <c r="E24" s="11">
        <v>2997200</v>
      </c>
      <c r="F24" s="11">
        <v>2902100</v>
      </c>
    </row>
    <row r="25" spans="1:6" s="2" customFormat="1" ht="11.25" customHeight="1" x14ac:dyDescent="0.2">
      <c r="A25" s="12" t="s">
        <v>62</v>
      </c>
      <c r="B25" s="11">
        <v>12712012.279999999</v>
      </c>
      <c r="C25" s="11">
        <v>11505000</v>
      </c>
      <c r="D25" s="11">
        <v>8540004</v>
      </c>
      <c r="E25" s="11">
        <v>5793998</v>
      </c>
      <c r="F25" s="11">
        <v>5296173</v>
      </c>
    </row>
    <row r="26" spans="1:6" s="2" customFormat="1" ht="11.25" customHeight="1" x14ac:dyDescent="0.2">
      <c r="A26" s="12" t="s">
        <v>63</v>
      </c>
      <c r="B26" s="11">
        <v>1518957.75</v>
      </c>
      <c r="C26" s="11">
        <v>1380600</v>
      </c>
      <c r="D26" s="11">
        <v>1024800</v>
      </c>
      <c r="E26" s="11">
        <v>695280</v>
      </c>
      <c r="F26" s="11">
        <v>597563</v>
      </c>
    </row>
    <row r="27" spans="1:6" s="2" customFormat="1" ht="11.25" customHeight="1" x14ac:dyDescent="0.2">
      <c r="A27" s="12" t="s">
        <v>64</v>
      </c>
      <c r="B27" s="11">
        <v>13992845.970000001</v>
      </c>
      <c r="C27" s="11">
        <v>12410972</v>
      </c>
      <c r="D27" s="11">
        <v>9365004</v>
      </c>
      <c r="E27" s="11">
        <v>7058112</v>
      </c>
      <c r="F27" s="11">
        <v>6232530</v>
      </c>
    </row>
    <row r="28" spans="1:6" s="2" customFormat="1" ht="11.25" customHeight="1" x14ac:dyDescent="0.2">
      <c r="A28" s="12" t="s">
        <v>65</v>
      </c>
      <c r="B28" s="11">
        <v>6545724</v>
      </c>
      <c r="C28" s="11">
        <v>5847500</v>
      </c>
      <c r="D28" s="11">
        <v>4352496</v>
      </c>
      <c r="E28" s="11">
        <v>3332323</v>
      </c>
      <c r="F28" s="11">
        <v>3670706</v>
      </c>
    </row>
    <row r="29" spans="1:6" s="2" customFormat="1" ht="11.25" customHeight="1" x14ac:dyDescent="0.2">
      <c r="A29" s="12" t="s">
        <v>66</v>
      </c>
      <c r="B29" s="11">
        <v>12854780</v>
      </c>
      <c r="C29" s="11">
        <v>3462000</v>
      </c>
      <c r="D29" s="11">
        <v>6000000</v>
      </c>
      <c r="E29" s="11">
        <v>4362790</v>
      </c>
      <c r="F29" s="11">
        <v>7451000</v>
      </c>
    </row>
    <row r="30" spans="1:6" s="2" customFormat="1" ht="11.25" customHeight="1" x14ac:dyDescent="0.2">
      <c r="A30" s="12" t="s">
        <v>67</v>
      </c>
      <c r="B30" s="11">
        <v>2980500</v>
      </c>
      <c r="C30" s="11">
        <v>3578000</v>
      </c>
      <c r="D30" s="11">
        <v>8768627</v>
      </c>
      <c r="E30" s="11">
        <v>10755000</v>
      </c>
      <c r="F30" s="11">
        <v>5520000</v>
      </c>
    </row>
    <row r="31" spans="1:6" s="2" customFormat="1" ht="11.25" customHeight="1" x14ac:dyDescent="0.2">
      <c r="A31" s="12" t="s">
        <v>68</v>
      </c>
      <c r="B31" s="11">
        <v>4950000</v>
      </c>
      <c r="C31" s="11">
        <v>4420495</v>
      </c>
      <c r="D31" s="11">
        <v>5199996</v>
      </c>
      <c r="E31" s="11">
        <v>3898829</v>
      </c>
      <c r="F31" s="11">
        <v>3708725</v>
      </c>
    </row>
    <row r="32" spans="1:6" s="2" customFormat="1" ht="11.25" customHeight="1" x14ac:dyDescent="0.2">
      <c r="A32" s="12" t="s">
        <v>69</v>
      </c>
      <c r="B32" s="11">
        <v>9967378</v>
      </c>
      <c r="C32" s="11">
        <v>3988320</v>
      </c>
      <c r="D32" s="11">
        <v>9429850</v>
      </c>
      <c r="E32" s="11">
        <v>10250458</v>
      </c>
      <c r="F32" s="11">
        <v>7643000</v>
      </c>
    </row>
    <row r="33" spans="1:6" s="2" customFormat="1" ht="11.25" customHeight="1" x14ac:dyDescent="0.2">
      <c r="A33" s="12" t="s">
        <v>70</v>
      </c>
      <c r="B33" s="11">
        <v>29889000.109999999</v>
      </c>
      <c r="C33" s="11">
        <f>14966215+10397200</f>
        <v>25363415</v>
      </c>
      <c r="D33" s="11">
        <v>22140216</v>
      </c>
      <c r="E33" s="11">
        <f>5390867+7676237+352680</f>
        <v>13419784</v>
      </c>
      <c r="F33" s="11">
        <v>12687771</v>
      </c>
    </row>
    <row r="34" spans="1:6" s="2" customFormat="1" ht="11.25" customHeight="1" x14ac:dyDescent="0.2">
      <c r="A34" s="12" t="s">
        <v>122</v>
      </c>
      <c r="B34" s="11">
        <v>14041658.690000001</v>
      </c>
      <c r="C34" s="11">
        <f>1223200+5337600+2668800+4003200</f>
        <v>13232800</v>
      </c>
      <c r="D34" s="11">
        <v>9579600</v>
      </c>
      <c r="E34" s="11">
        <f>2624400+1968300+1312200</f>
        <v>5904900</v>
      </c>
      <c r="F34" s="11">
        <v>5385330</v>
      </c>
    </row>
    <row r="35" spans="1:6" s="2" customFormat="1" ht="11.25" customHeight="1" x14ac:dyDescent="0.2">
      <c r="A35" s="12" t="s">
        <v>71</v>
      </c>
      <c r="B35" s="11">
        <v>312442</v>
      </c>
      <c r="C35" s="11">
        <v>268600</v>
      </c>
      <c r="D35" s="11">
        <v>251410</v>
      </c>
      <c r="E35" s="11">
        <v>535565</v>
      </c>
      <c r="F35" s="11">
        <v>424924</v>
      </c>
    </row>
    <row r="36" spans="1:6" s="2" customFormat="1" ht="11.25" customHeight="1" x14ac:dyDescent="0.2">
      <c r="A36" s="12" t="s">
        <v>72</v>
      </c>
      <c r="B36" s="11">
        <v>19224000</v>
      </c>
      <c r="C36" s="11">
        <v>26082200</v>
      </c>
      <c r="D36" s="11">
        <v>29832000</v>
      </c>
      <c r="E36" s="11">
        <f>5435400+10408800+10356600</f>
        <v>26200800</v>
      </c>
      <c r="F36" s="11">
        <v>27461183</v>
      </c>
    </row>
    <row r="37" spans="1:6" s="2" customFormat="1" ht="11.25" customHeight="1" x14ac:dyDescent="0.2">
      <c r="A37" s="12" t="s">
        <v>73</v>
      </c>
      <c r="B37" s="11">
        <v>3299106</v>
      </c>
      <c r="C37" s="11">
        <v>2814401</v>
      </c>
      <c r="D37" s="11">
        <v>2813352</v>
      </c>
      <c r="E37" s="11">
        <v>923951</v>
      </c>
      <c r="F37" s="11">
        <v>776539</v>
      </c>
    </row>
    <row r="38" spans="1:6" s="2" customFormat="1" ht="11.25" customHeight="1" x14ac:dyDescent="0.2">
      <c r="A38" s="12" t="s">
        <v>74</v>
      </c>
      <c r="B38" s="11">
        <v>4058804</v>
      </c>
      <c r="C38" s="11">
        <v>3865567</v>
      </c>
      <c r="D38" s="11">
        <v>5545090</v>
      </c>
      <c r="E38" s="11">
        <v>3964994</v>
      </c>
      <c r="F38" s="11"/>
    </row>
    <row r="39" spans="1:6" s="2" customFormat="1" ht="11.25" customHeight="1" x14ac:dyDescent="0.2">
      <c r="A39" s="12" t="s">
        <v>75</v>
      </c>
      <c r="B39" s="11">
        <v>9521000</v>
      </c>
      <c r="C39" s="11">
        <v>9406012</v>
      </c>
      <c r="D39" s="11">
        <v>9686213</v>
      </c>
      <c r="E39" s="11">
        <v>2400183</v>
      </c>
      <c r="F39" s="11">
        <v>2134313</v>
      </c>
    </row>
    <row r="40" spans="1:6" s="2" customFormat="1" ht="11.25" customHeight="1" x14ac:dyDescent="0.2">
      <c r="A40" s="12" t="s">
        <v>76</v>
      </c>
      <c r="B40" s="11">
        <v>3661296</v>
      </c>
      <c r="C40" s="11">
        <v>2202374</v>
      </c>
      <c r="D40" s="11"/>
      <c r="E40" s="11">
        <v>2374960</v>
      </c>
      <c r="F40" s="11">
        <v>895979</v>
      </c>
    </row>
    <row r="41" spans="1:6" s="2" customFormat="1" ht="11.25" customHeight="1" x14ac:dyDescent="0.2">
      <c r="A41" s="12" t="s">
        <v>77</v>
      </c>
      <c r="B41" s="11">
        <v>11041514</v>
      </c>
      <c r="C41" s="11">
        <v>7862401</v>
      </c>
      <c r="D41" s="11">
        <v>5930372</v>
      </c>
      <c r="E41" s="11">
        <v>7220665</v>
      </c>
      <c r="F41" s="11">
        <v>6344041</v>
      </c>
    </row>
    <row r="42" spans="1:6" s="2" customFormat="1" ht="11.25" customHeight="1" x14ac:dyDescent="0.2">
      <c r="A42" s="12" t="s">
        <v>78</v>
      </c>
      <c r="B42" s="11">
        <v>9769960</v>
      </c>
      <c r="C42" s="11">
        <f>3104539+4609598</f>
        <v>7714137</v>
      </c>
      <c r="D42" s="11">
        <v>7878150</v>
      </c>
      <c r="E42" s="11">
        <f>1754969+2442759</f>
        <v>4197728</v>
      </c>
      <c r="F42" s="11">
        <v>6432978</v>
      </c>
    </row>
    <row r="43" spans="1:6" s="2" customFormat="1" ht="11.25" customHeight="1" x14ac:dyDescent="0.2">
      <c r="A43" s="12" t="s">
        <v>79</v>
      </c>
      <c r="B43" s="11">
        <v>15482510</v>
      </c>
      <c r="C43" s="11">
        <v>14288090</v>
      </c>
      <c r="D43" s="11">
        <v>8684470</v>
      </c>
      <c r="E43" s="11">
        <v>3334851</v>
      </c>
      <c r="F43" s="11">
        <v>4560800</v>
      </c>
    </row>
    <row r="44" spans="1:6" s="2" customFormat="1" ht="11.25" customHeight="1" x14ac:dyDescent="0.2">
      <c r="A44" s="12" t="s">
        <v>80</v>
      </c>
      <c r="B44" s="11">
        <v>13386339.26</v>
      </c>
      <c r="C44" s="11">
        <v>14018620</v>
      </c>
      <c r="D44" s="15">
        <f>15304654+1987667</f>
        <v>17292321</v>
      </c>
      <c r="E44" s="11">
        <f>9837242+E45</f>
        <v>12199287</v>
      </c>
      <c r="F44" s="11">
        <f>9439150+F45</f>
        <v>10600302</v>
      </c>
    </row>
    <row r="45" spans="1:6" s="2" customFormat="1" ht="11.25" customHeight="1" x14ac:dyDescent="0.2">
      <c r="A45" s="12" t="s">
        <v>81</v>
      </c>
      <c r="B45" s="11">
        <v>7340000</v>
      </c>
      <c r="C45" s="36">
        <v>5439661</v>
      </c>
      <c r="D45" s="39">
        <v>3607022</v>
      </c>
      <c r="E45" s="11">
        <v>2362045</v>
      </c>
      <c r="F45" s="11">
        <v>1161152</v>
      </c>
    </row>
    <row r="46" spans="1:6" s="2" customFormat="1" ht="11.25" customHeight="1" x14ac:dyDescent="0.2">
      <c r="A46" s="12" t="s">
        <v>82</v>
      </c>
      <c r="B46" s="11">
        <v>5152000</v>
      </c>
      <c r="C46" s="36">
        <v>3162770</v>
      </c>
      <c r="D46" s="39">
        <v>4424668</v>
      </c>
      <c r="E46" s="11">
        <v>2416992</v>
      </c>
      <c r="F46" s="11">
        <v>2162180</v>
      </c>
    </row>
    <row r="47" spans="1:6" s="2" customFormat="1" ht="11.25" customHeight="1" x14ac:dyDescent="0.2">
      <c r="A47" s="12" t="s">
        <v>215</v>
      </c>
      <c r="B47" s="11">
        <v>13371430</v>
      </c>
      <c r="C47" s="36">
        <f>11573725+234028</f>
        <v>11807753</v>
      </c>
      <c r="D47" s="39">
        <f>12015386+539150</f>
        <v>12554536</v>
      </c>
      <c r="E47" s="11">
        <f>10488293+363298</f>
        <v>10851591</v>
      </c>
      <c r="F47" s="11">
        <v>8164903</v>
      </c>
    </row>
    <row r="48" spans="1:6" s="2" customFormat="1" ht="11.25" customHeight="1" x14ac:dyDescent="0.2">
      <c r="A48" s="12" t="s">
        <v>84</v>
      </c>
      <c r="B48" s="11">
        <v>18900695</v>
      </c>
      <c r="C48" s="36">
        <v>18626260</v>
      </c>
      <c r="D48" s="39">
        <v>20419409</v>
      </c>
      <c r="E48" s="11">
        <v>14031204</v>
      </c>
      <c r="F48" s="11">
        <v>5976586</v>
      </c>
    </row>
    <row r="49" spans="1:6" s="2" customFormat="1" ht="11.25" customHeight="1" x14ac:dyDescent="0.2">
      <c r="A49" s="12" t="s">
        <v>85</v>
      </c>
      <c r="B49" s="11">
        <v>2575000</v>
      </c>
      <c r="C49" s="36">
        <v>1678104</v>
      </c>
      <c r="D49" s="39">
        <v>1927200</v>
      </c>
      <c r="E49" s="11">
        <v>1399758</v>
      </c>
      <c r="F49" s="11">
        <v>3564201</v>
      </c>
    </row>
    <row r="50" spans="1:6" s="2" customFormat="1" ht="11.25" customHeight="1" x14ac:dyDescent="0.2">
      <c r="A50" s="12" t="s">
        <v>86</v>
      </c>
      <c r="B50" s="11">
        <v>10217727</v>
      </c>
      <c r="C50" s="36">
        <v>10457518</v>
      </c>
      <c r="D50" s="39">
        <v>9800004</v>
      </c>
      <c r="E50" s="11">
        <v>8743499</v>
      </c>
      <c r="F50" s="11">
        <v>6472463</v>
      </c>
    </row>
    <row r="51" spans="1:6" s="2" customFormat="1" ht="11.25" customHeight="1" x14ac:dyDescent="0.2">
      <c r="A51" s="12" t="s">
        <v>87</v>
      </c>
      <c r="B51" s="11">
        <v>30971802.52</v>
      </c>
      <c r="C51" s="36">
        <v>17525202</v>
      </c>
      <c r="D51" s="39">
        <v>19345330</v>
      </c>
      <c r="E51" s="11">
        <v>29054293</v>
      </c>
      <c r="F51" s="11">
        <v>12061237</v>
      </c>
    </row>
    <row r="52" spans="1:6" s="2" customFormat="1" ht="11.25" customHeight="1" x14ac:dyDescent="0.2">
      <c r="A52" s="12" t="s">
        <v>88</v>
      </c>
      <c r="B52" s="11">
        <v>466057</v>
      </c>
      <c r="C52" s="36">
        <v>1068342</v>
      </c>
      <c r="D52" s="39">
        <v>508907</v>
      </c>
      <c r="E52" s="11">
        <v>1421082</v>
      </c>
      <c r="F52" s="11">
        <v>286889</v>
      </c>
    </row>
    <row r="53" spans="1:6" s="2" customFormat="1" ht="11.25" customHeight="1" x14ac:dyDescent="0.2">
      <c r="A53" s="12" t="s">
        <v>89</v>
      </c>
      <c r="B53" s="11"/>
      <c r="C53" s="36">
        <v>2767450</v>
      </c>
      <c r="D53" s="39">
        <v>15378573</v>
      </c>
      <c r="E53" s="11">
        <v>0</v>
      </c>
      <c r="F53" s="11">
        <v>4293200</v>
      </c>
    </row>
    <row r="54" spans="1:6" s="2" customFormat="1" ht="11.25" customHeight="1" x14ac:dyDescent="0.2">
      <c r="A54" s="12" t="s">
        <v>123</v>
      </c>
      <c r="B54" s="11">
        <v>10000000</v>
      </c>
      <c r="C54" s="36">
        <v>20000000</v>
      </c>
      <c r="D54" s="39"/>
      <c r="E54" s="11"/>
      <c r="F54" s="11"/>
    </row>
    <row r="55" spans="1:6" s="2" customFormat="1" ht="11.25" customHeight="1" x14ac:dyDescent="0.2">
      <c r="A55" s="12" t="s">
        <v>90</v>
      </c>
      <c r="B55" s="11">
        <v>2908300</v>
      </c>
      <c r="C55" s="36">
        <v>1531000</v>
      </c>
      <c r="D55" s="39">
        <v>5605035</v>
      </c>
      <c r="E55" s="11">
        <v>11081522</v>
      </c>
      <c r="F55" s="11">
        <v>7341514</v>
      </c>
    </row>
    <row r="56" spans="1:6" s="2" customFormat="1" ht="11.25" customHeight="1" x14ac:dyDescent="0.2">
      <c r="A56" s="12" t="s">
        <v>91</v>
      </c>
      <c r="B56" s="11">
        <v>11559190</v>
      </c>
      <c r="C56" s="36">
        <v>11225120</v>
      </c>
      <c r="D56" s="39">
        <v>9805034</v>
      </c>
      <c r="E56" s="11">
        <v>8149000</v>
      </c>
      <c r="F56" s="11">
        <v>9828400</v>
      </c>
    </row>
    <row r="57" spans="1:6" s="2" customFormat="1" ht="11.25" customHeight="1" x14ac:dyDescent="0.2">
      <c r="A57" s="12" t="s">
        <v>92</v>
      </c>
      <c r="B57" s="11">
        <v>2804200</v>
      </c>
      <c r="C57" s="36">
        <v>2335507</v>
      </c>
      <c r="D57" s="39">
        <v>1846094</v>
      </c>
      <c r="E57" s="11">
        <v>2076454</v>
      </c>
      <c r="F57" s="11"/>
    </row>
    <row r="58" spans="1:6" s="2" customFormat="1" ht="11.25" customHeight="1" x14ac:dyDescent="0.2">
      <c r="A58" s="12" t="s">
        <v>93</v>
      </c>
      <c r="B58" s="11">
        <v>1980250</v>
      </c>
      <c r="C58" s="36">
        <v>1390800</v>
      </c>
      <c r="D58" s="39">
        <v>2470290</v>
      </c>
      <c r="E58" s="11">
        <v>1445820</v>
      </c>
      <c r="F58" s="11">
        <v>2033120</v>
      </c>
    </row>
    <row r="59" spans="1:6" s="2" customFormat="1" ht="11.25" customHeight="1" x14ac:dyDescent="0.2">
      <c r="A59" s="12" t="s">
        <v>94</v>
      </c>
      <c r="B59" s="11"/>
      <c r="C59" s="36"/>
      <c r="D59" s="39">
        <v>350000</v>
      </c>
      <c r="E59" s="11">
        <v>503700</v>
      </c>
      <c r="F59" s="11">
        <v>1594000</v>
      </c>
    </row>
    <row r="60" spans="1:6" s="2" customFormat="1" ht="11.25" customHeight="1" x14ac:dyDescent="0.2">
      <c r="A60" s="12" t="s">
        <v>95</v>
      </c>
      <c r="B60" s="11" t="e">
        <f>+'EJE PRESUPUESTAL '!#REF!</f>
        <v>#REF!</v>
      </c>
      <c r="C60" s="36">
        <v>1007980</v>
      </c>
      <c r="D60" s="39">
        <v>667556</v>
      </c>
      <c r="E60" s="11">
        <v>1059825</v>
      </c>
      <c r="F60" s="11">
        <v>2682005.79</v>
      </c>
    </row>
    <row r="61" spans="1:6" s="2" customFormat="1" ht="11.25" customHeight="1" x14ac:dyDescent="0.2">
      <c r="A61" s="12" t="s">
        <v>379</v>
      </c>
      <c r="B61" s="11" t="e">
        <f>+'EJE PRESUPUESTAL '!#REF!</f>
        <v>#REF!</v>
      </c>
      <c r="C61" s="36">
        <v>0</v>
      </c>
      <c r="D61" s="39">
        <v>1800000</v>
      </c>
      <c r="E61" s="11">
        <v>4710000</v>
      </c>
      <c r="F61" s="11"/>
    </row>
    <row r="62" spans="1:6" s="2" customFormat="1" ht="11.25" customHeight="1" x14ac:dyDescent="0.2">
      <c r="A62" s="12" t="s">
        <v>125</v>
      </c>
      <c r="B62" s="11"/>
      <c r="C62" s="36"/>
      <c r="D62" s="39"/>
      <c r="E62" s="11">
        <v>952500</v>
      </c>
      <c r="F62" s="11"/>
    </row>
    <row r="63" spans="1:6" s="2" customFormat="1" ht="11.25" customHeight="1" x14ac:dyDescent="0.2">
      <c r="A63" s="12" t="s">
        <v>96</v>
      </c>
      <c r="B63" s="11"/>
      <c r="C63" s="36">
        <v>0</v>
      </c>
      <c r="D63" s="39">
        <v>4500000</v>
      </c>
      <c r="E63" s="11">
        <v>3000000</v>
      </c>
      <c r="F63" s="11"/>
    </row>
    <row r="64" spans="1:6" s="2" customFormat="1" ht="11.25" customHeight="1" x14ac:dyDescent="0.2">
      <c r="A64" s="12" t="s">
        <v>97</v>
      </c>
      <c r="B64" s="11">
        <v>44968183.879999995</v>
      </c>
      <c r="C64" s="36">
        <v>26800680</v>
      </c>
      <c r="D64" s="39">
        <v>23167572</v>
      </c>
      <c r="E64" s="11">
        <f>6171107+6072000</f>
        <v>12243107</v>
      </c>
      <c r="F64" s="11">
        <v>4155892</v>
      </c>
    </row>
    <row r="65" spans="1:6" s="2" customFormat="1" ht="11.25" customHeight="1" x14ac:dyDescent="0.2">
      <c r="A65" s="12" t="s">
        <v>98</v>
      </c>
      <c r="B65" s="11">
        <v>5009041.47</v>
      </c>
      <c r="C65" s="36">
        <v>0</v>
      </c>
      <c r="D65" s="39">
        <v>11120687</v>
      </c>
      <c r="E65" s="11">
        <v>6861846</v>
      </c>
      <c r="F65" s="11">
        <v>5448699.6200000001</v>
      </c>
    </row>
    <row r="66" spans="1:6" s="2" customFormat="1" ht="11.25" customHeight="1" x14ac:dyDescent="0.2">
      <c r="A66" s="12" t="s">
        <v>99</v>
      </c>
      <c r="B66" s="11">
        <v>12690589.939999999</v>
      </c>
      <c r="C66" s="36">
        <v>19921016.100000001</v>
      </c>
      <c r="D66" s="39">
        <v>14817468</v>
      </c>
      <c r="E66" s="11"/>
      <c r="F66" s="11"/>
    </row>
    <row r="67" spans="1:6" s="2" customFormat="1" ht="11.25" customHeight="1" x14ac:dyDescent="0.2">
      <c r="A67" s="13" t="s">
        <v>214</v>
      </c>
      <c r="B67" s="11">
        <v>2811281</v>
      </c>
      <c r="C67" s="37"/>
      <c r="D67" s="39"/>
      <c r="E67" s="11"/>
      <c r="F67" s="11"/>
    </row>
    <row r="68" spans="1:6" s="2" customFormat="1" ht="11.25" customHeight="1" thickBot="1" x14ac:dyDescent="0.25">
      <c r="A68" s="96" t="s">
        <v>244</v>
      </c>
      <c r="B68" s="31">
        <f>+'EJE PRESUPUESTAL '!B83</f>
        <v>267956998</v>
      </c>
      <c r="C68" s="31"/>
      <c r="D68" s="31"/>
      <c r="E68" s="31"/>
      <c r="F68" s="31"/>
    </row>
    <row r="69" spans="1:6" s="2" customFormat="1" ht="11.25" customHeight="1" thickBot="1" x14ac:dyDescent="0.25">
      <c r="A69" s="25" t="s">
        <v>100</v>
      </c>
      <c r="B69" s="26" t="e">
        <f>SUM(B23:B68)+9700000</f>
        <v>#REF!</v>
      </c>
      <c r="C69" s="26">
        <f>SUM(C23:C66)</f>
        <v>466129498.10000002</v>
      </c>
      <c r="D69" s="27">
        <f>SUM(D23:D66)</f>
        <v>445408021</v>
      </c>
      <c r="E69" s="27">
        <f>SUM(E23:E67)</f>
        <v>319056985</v>
      </c>
      <c r="F69" s="26">
        <v>257808894.41</v>
      </c>
    </row>
    <row r="70" spans="1:6" s="2" customFormat="1" ht="11.25" customHeight="1" thickBot="1" x14ac:dyDescent="0.25">
      <c r="A70" s="19"/>
      <c r="B70" s="20"/>
      <c r="C70" s="21"/>
      <c r="D70" s="22"/>
      <c r="E70" s="38"/>
      <c r="F70" s="38"/>
    </row>
    <row r="71" spans="1:6" ht="11.25" customHeight="1" thickBot="1" x14ac:dyDescent="0.25">
      <c r="A71" s="25" t="s">
        <v>101</v>
      </c>
      <c r="B71" s="27" t="e">
        <f>+B20-B69</f>
        <v>#REF!</v>
      </c>
      <c r="C71" s="27">
        <f>+C20-C69</f>
        <v>125504636.20000005</v>
      </c>
      <c r="D71" s="28">
        <f>+D20-D69</f>
        <v>83892271.730000019</v>
      </c>
      <c r="E71" s="38">
        <f>+E20-E69</f>
        <v>168709057</v>
      </c>
      <c r="F71" s="38">
        <v>180567454.89999995</v>
      </c>
    </row>
    <row r="72" spans="1:6" ht="11.25" customHeight="1" thickBot="1" x14ac:dyDescent="0.25">
      <c r="A72" s="19"/>
      <c r="B72" s="20"/>
      <c r="C72" s="21"/>
      <c r="D72" s="22"/>
    </row>
    <row r="73" spans="1:6" ht="11.25" customHeight="1" thickBot="1" x14ac:dyDescent="0.25">
      <c r="A73" s="54" t="s">
        <v>102</v>
      </c>
      <c r="B73" s="62"/>
      <c r="C73" s="58"/>
      <c r="D73" s="46"/>
      <c r="E73" s="40"/>
      <c r="F73" s="47"/>
    </row>
    <row r="74" spans="1:6" ht="11.25" customHeight="1" x14ac:dyDescent="0.2">
      <c r="A74" s="55" t="s">
        <v>103</v>
      </c>
      <c r="B74" s="39">
        <v>4323671.3100000005</v>
      </c>
      <c r="C74" s="64">
        <v>11492858.48</v>
      </c>
      <c r="D74" s="45">
        <v>12429293</v>
      </c>
      <c r="E74" s="34">
        <v>623437</v>
      </c>
      <c r="F74" s="34">
        <v>19720</v>
      </c>
    </row>
    <row r="75" spans="1:6" ht="11.25" customHeight="1" x14ac:dyDescent="0.2">
      <c r="A75" s="56" t="s">
        <v>104</v>
      </c>
      <c r="B75" s="39">
        <v>908512</v>
      </c>
      <c r="C75" s="65">
        <v>2003121</v>
      </c>
      <c r="D75" s="11">
        <f>11035709+3268788</f>
        <v>14304497</v>
      </c>
      <c r="E75" s="15">
        <v>9088953</v>
      </c>
      <c r="F75" s="15">
        <v>1834491.27</v>
      </c>
    </row>
    <row r="76" spans="1:6" ht="11.25" customHeight="1" thickBot="1" x14ac:dyDescent="0.25">
      <c r="A76" s="13" t="s">
        <v>124</v>
      </c>
      <c r="B76" s="39">
        <v>0.40000000037252903</v>
      </c>
      <c r="C76" s="15">
        <v>118411286</v>
      </c>
      <c r="D76" s="15"/>
      <c r="E76" s="15">
        <v>102199</v>
      </c>
      <c r="F76" s="15">
        <v>0</v>
      </c>
    </row>
    <row r="77" spans="1:6" ht="11.25" customHeight="1" thickBot="1" x14ac:dyDescent="0.25">
      <c r="A77" s="29" t="s">
        <v>105</v>
      </c>
      <c r="B77" s="30">
        <f>SUM(B74:B76)</f>
        <v>5232183.7100000009</v>
      </c>
      <c r="C77" s="30">
        <f>SUM(C74:C76)</f>
        <v>131907265.48</v>
      </c>
      <c r="D77" s="18">
        <f>SUM(D74:D76)</f>
        <v>26733790</v>
      </c>
      <c r="E77" s="18">
        <f>SUM(E74:E76)</f>
        <v>9814589</v>
      </c>
      <c r="F77" s="18">
        <v>1854211.27</v>
      </c>
    </row>
    <row r="78" spans="1:6" ht="11.25" customHeight="1" thickBot="1" x14ac:dyDescent="0.25">
      <c r="A78" s="19"/>
      <c r="B78" s="20"/>
      <c r="C78" s="31"/>
      <c r="D78" s="32"/>
    </row>
    <row r="79" spans="1:6" ht="11.25" customHeight="1" thickBot="1" x14ac:dyDescent="0.25">
      <c r="A79" s="54" t="s">
        <v>106</v>
      </c>
      <c r="B79" s="62"/>
      <c r="C79" s="58"/>
      <c r="D79" s="46"/>
      <c r="E79" s="39"/>
      <c r="F79" s="39"/>
    </row>
    <row r="80" spans="1:6" ht="11.25" customHeight="1" x14ac:dyDescent="0.2">
      <c r="A80" s="55" t="s">
        <v>55</v>
      </c>
      <c r="B80" s="63"/>
      <c r="C80" s="59"/>
      <c r="D80" s="39">
        <v>21957119</v>
      </c>
      <c r="E80" s="39">
        <f>4427412+501464+566042+802017+6981175</f>
        <v>13278110</v>
      </c>
      <c r="F80" s="39">
        <v>9884325</v>
      </c>
    </row>
    <row r="81" spans="1:6" ht="11.25" customHeight="1" x14ac:dyDescent="0.2">
      <c r="A81" s="56" t="s">
        <v>121</v>
      </c>
      <c r="B81" s="59">
        <v>2317130</v>
      </c>
      <c r="C81" s="59">
        <v>2209169.4700000002</v>
      </c>
      <c r="D81" s="39"/>
      <c r="E81" s="39"/>
      <c r="F81" s="39"/>
    </row>
    <row r="82" spans="1:6" ht="11.25" customHeight="1" thickBot="1" x14ac:dyDescent="0.25">
      <c r="A82" s="57" t="s">
        <v>120</v>
      </c>
      <c r="B82" s="63"/>
      <c r="C82" s="60">
        <v>18514823.379999999</v>
      </c>
      <c r="D82" s="48">
        <v>0</v>
      </c>
      <c r="E82" s="49"/>
      <c r="F82" s="49"/>
    </row>
    <row r="83" spans="1:6" ht="11.25" customHeight="1" thickBot="1" x14ac:dyDescent="0.25">
      <c r="A83" s="25" t="s">
        <v>107</v>
      </c>
      <c r="B83" s="61">
        <f>SUM(B80:B82)</f>
        <v>2317130</v>
      </c>
      <c r="C83" s="26">
        <f>SUM(C80:C82)</f>
        <v>20723992.849999998</v>
      </c>
      <c r="D83" s="27">
        <f>SUM(D80:D82)</f>
        <v>21957119</v>
      </c>
      <c r="E83" s="27">
        <f>4427412+501464+566042+802017+6981175</f>
        <v>13278110</v>
      </c>
      <c r="F83" s="27">
        <v>9884325</v>
      </c>
    </row>
    <row r="84" spans="1:6" ht="11.25" customHeight="1" thickBot="1" x14ac:dyDescent="0.25">
      <c r="A84" s="33"/>
      <c r="B84" s="52"/>
      <c r="C84" s="34"/>
      <c r="D84" s="35"/>
    </row>
    <row r="85" spans="1:6" ht="11.25" customHeight="1" thickBot="1" x14ac:dyDescent="0.25">
      <c r="A85" s="25" t="s">
        <v>108</v>
      </c>
      <c r="B85" s="26" t="e">
        <f>+B71+B77-B83</f>
        <v>#REF!</v>
      </c>
      <c r="C85" s="26">
        <f>+C71+C77-C83</f>
        <v>236687908.83000007</v>
      </c>
      <c r="D85" s="26">
        <f>+D71+D77-D83</f>
        <v>88668942.730000019</v>
      </c>
      <c r="E85" s="27">
        <v>166640787</v>
      </c>
      <c r="F85" s="27">
        <v>172537341.16999996</v>
      </c>
    </row>
    <row r="86" spans="1:6" ht="11.25" customHeight="1" thickBot="1" x14ac:dyDescent="0.25">
      <c r="A86" s="33"/>
      <c r="B86" s="52"/>
      <c r="C86" s="34"/>
      <c r="D86" s="35"/>
    </row>
    <row r="87" spans="1:6" ht="11.25" customHeight="1" thickBot="1" x14ac:dyDescent="0.25">
      <c r="A87" s="25" t="s">
        <v>109</v>
      </c>
      <c r="B87" s="26" t="e">
        <f>+B85+B86</f>
        <v>#REF!</v>
      </c>
      <c r="C87" s="26">
        <f>+C85+C86</f>
        <v>236687908.83000007</v>
      </c>
      <c r="D87" s="26">
        <f>+D85+D86</f>
        <v>88668942.730000019</v>
      </c>
      <c r="E87" s="27">
        <v>166640787</v>
      </c>
      <c r="F87" s="27">
        <v>172537341.16999996</v>
      </c>
    </row>
    <row r="88" spans="1:6" ht="11.25" customHeight="1" x14ac:dyDescent="0.2">
      <c r="B88" s="6"/>
    </row>
    <row r="89" spans="1:6" ht="11.25" customHeight="1" x14ac:dyDescent="0.2">
      <c r="B89" s="6"/>
    </row>
    <row r="90" spans="1:6" ht="11.25" customHeight="1" x14ac:dyDescent="0.2">
      <c r="B90" s="6"/>
    </row>
    <row r="91" spans="1:6" ht="11.25" customHeight="1" x14ac:dyDescent="0.2">
      <c r="B91" s="6"/>
    </row>
    <row r="92" spans="1:6" ht="11.25" customHeight="1" x14ac:dyDescent="0.2">
      <c r="B92" s="6"/>
    </row>
    <row r="93" spans="1:6" ht="11.25" customHeight="1" x14ac:dyDescent="0.2">
      <c r="B93" s="6"/>
    </row>
    <row r="94" spans="1:6" ht="11.25" customHeight="1" x14ac:dyDescent="0.2">
      <c r="B94" s="6"/>
    </row>
    <row r="95" spans="1:6" ht="11.25" customHeight="1" x14ac:dyDescent="0.2">
      <c r="B95" s="6"/>
    </row>
    <row r="96" spans="1:6" ht="11.25" customHeight="1" x14ac:dyDescent="0.2">
      <c r="B96" s="6"/>
    </row>
    <row r="97" spans="2:2" ht="11.25" customHeight="1" x14ac:dyDescent="0.2">
      <c r="B97" s="6"/>
    </row>
    <row r="98" spans="2:2" ht="11.25" customHeight="1" x14ac:dyDescent="0.2">
      <c r="B98" s="6"/>
    </row>
    <row r="99" spans="2:2" ht="11.25" customHeight="1" x14ac:dyDescent="0.2">
      <c r="B99" s="6"/>
    </row>
  </sheetData>
  <mergeCells count="2">
    <mergeCell ref="A1:F1"/>
    <mergeCell ref="A2:F2"/>
  </mergeCells>
  <phoneticPr fontId="28" type="noConversion"/>
  <pageMargins left="1.1402777777777777" right="0.75" top="0.35972222222222222" bottom="1" header="0.51180555555555562" footer="0.51180555555555562"/>
  <pageSetup scale="68"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9"/>
  <dimension ref="B2:F29"/>
  <sheetViews>
    <sheetView topLeftCell="A16" workbookViewId="0">
      <selection activeCell="E18" sqref="E18"/>
    </sheetView>
  </sheetViews>
  <sheetFormatPr baseColWidth="10" defaultRowHeight="15" x14ac:dyDescent="0.2"/>
  <cols>
    <col min="2" max="3" width="23" customWidth="1"/>
    <col min="4" max="4" width="57" customWidth="1"/>
  </cols>
  <sheetData>
    <row r="2" spans="2:6" x14ac:dyDescent="0.2">
      <c r="B2" s="41" t="s">
        <v>131</v>
      </c>
      <c r="C2" s="41" t="s">
        <v>294</v>
      </c>
      <c r="D2" s="41" t="s">
        <v>316</v>
      </c>
    </row>
    <row r="3" spans="2:6" x14ac:dyDescent="0.2">
      <c r="B3" s="42" t="s">
        <v>132</v>
      </c>
      <c r="C3" s="44"/>
    </row>
    <row r="4" spans="2:6" ht="25.5" x14ac:dyDescent="0.2">
      <c r="B4" s="94" t="s">
        <v>29</v>
      </c>
      <c r="C4" s="95" t="s">
        <v>293</v>
      </c>
      <c r="D4" s="93" t="s">
        <v>280</v>
      </c>
      <c r="E4" s="3"/>
    </row>
    <row r="5" spans="2:6" ht="25.5" x14ac:dyDescent="0.2">
      <c r="B5" s="94" t="s">
        <v>135</v>
      </c>
      <c r="C5" s="95" t="s">
        <v>295</v>
      </c>
      <c r="D5" s="93" t="s">
        <v>371</v>
      </c>
    </row>
    <row r="6" spans="2:6" x14ac:dyDescent="0.2">
      <c r="B6" s="43" t="s">
        <v>136</v>
      </c>
      <c r="C6" s="44"/>
      <c r="D6" s="41" t="s">
        <v>316</v>
      </c>
    </row>
    <row r="7" spans="2:6" ht="38.25" x14ac:dyDescent="0.2">
      <c r="B7" s="94" t="s">
        <v>137</v>
      </c>
      <c r="C7" s="95" t="s">
        <v>296</v>
      </c>
      <c r="D7" s="93" t="s">
        <v>372</v>
      </c>
    </row>
    <row r="8" spans="2:6" ht="38.25" x14ac:dyDescent="0.2">
      <c r="B8" s="94" t="s">
        <v>139</v>
      </c>
      <c r="C8" s="95" t="s">
        <v>297</v>
      </c>
      <c r="D8" s="93" t="s">
        <v>281</v>
      </c>
    </row>
    <row r="9" spans="2:6" ht="25.5" x14ac:dyDescent="0.2">
      <c r="B9" s="94" t="s">
        <v>127</v>
      </c>
      <c r="C9" s="95" t="s">
        <v>298</v>
      </c>
      <c r="D9" s="93" t="s">
        <v>282</v>
      </c>
    </row>
    <row r="10" spans="2:6" ht="25.5" x14ac:dyDescent="0.2">
      <c r="B10" s="94" t="s">
        <v>166</v>
      </c>
      <c r="C10" s="95" t="s">
        <v>299</v>
      </c>
      <c r="D10" s="93" t="s">
        <v>283</v>
      </c>
    </row>
    <row r="11" spans="2:6" x14ac:dyDescent="0.2">
      <c r="B11" s="42" t="s">
        <v>142</v>
      </c>
      <c r="C11" s="44"/>
      <c r="D11" s="41" t="s">
        <v>316</v>
      </c>
    </row>
    <row r="12" spans="2:6" ht="38.25" x14ac:dyDescent="0.2">
      <c r="B12" s="94" t="s">
        <v>143</v>
      </c>
      <c r="C12" s="95" t="s">
        <v>300</v>
      </c>
      <c r="D12" s="93" t="s">
        <v>286</v>
      </c>
    </row>
    <row r="13" spans="2:6" ht="38.25" x14ac:dyDescent="0.2">
      <c r="B13" s="94" t="s">
        <v>144</v>
      </c>
      <c r="C13" s="95" t="s">
        <v>301</v>
      </c>
      <c r="D13" s="93" t="s">
        <v>284</v>
      </c>
    </row>
    <row r="14" spans="2:6" ht="38.25" x14ac:dyDescent="0.2">
      <c r="B14" s="94" t="s">
        <v>145</v>
      </c>
      <c r="C14" s="95" t="s">
        <v>302</v>
      </c>
      <c r="D14" s="93" t="s">
        <v>285</v>
      </c>
      <c r="E14">
        <f>58500*15</f>
        <v>877500</v>
      </c>
      <c r="F14">
        <f>58500*12</f>
        <v>702000</v>
      </c>
    </row>
    <row r="15" spans="2:6" ht="89.25" x14ac:dyDescent="0.2">
      <c r="B15" s="94" t="s">
        <v>146</v>
      </c>
      <c r="C15" s="95" t="s">
        <v>303</v>
      </c>
      <c r="D15" s="93" t="s">
        <v>373</v>
      </c>
    </row>
    <row r="16" spans="2:6" ht="25.5" x14ac:dyDescent="0.2">
      <c r="B16" s="94" t="s">
        <v>147</v>
      </c>
      <c r="C16" s="95" t="s">
        <v>304</v>
      </c>
      <c r="D16" s="93" t="s">
        <v>374</v>
      </c>
    </row>
    <row r="17" spans="2:4" ht="38.25" x14ac:dyDescent="0.2">
      <c r="B17" s="94" t="s">
        <v>148</v>
      </c>
      <c r="C17" s="95" t="s">
        <v>375</v>
      </c>
      <c r="D17" s="93" t="s">
        <v>376</v>
      </c>
    </row>
    <row r="18" spans="2:4" ht="51" x14ac:dyDescent="0.2">
      <c r="B18" s="94" t="s">
        <v>149</v>
      </c>
      <c r="C18" s="95" t="s">
        <v>305</v>
      </c>
      <c r="D18" s="93" t="s">
        <v>287</v>
      </c>
    </row>
    <row r="19" spans="2:4" x14ac:dyDescent="0.2">
      <c r="B19" s="43" t="s">
        <v>150</v>
      </c>
      <c r="C19" s="44"/>
      <c r="D19" s="41" t="s">
        <v>316</v>
      </c>
    </row>
    <row r="20" spans="2:4" ht="38.25" x14ac:dyDescent="0.2">
      <c r="B20" s="94" t="s">
        <v>151</v>
      </c>
      <c r="C20" s="95" t="s">
        <v>306</v>
      </c>
      <c r="D20" s="93" t="s">
        <v>377</v>
      </c>
    </row>
    <row r="21" spans="2:4" ht="25.5" x14ac:dyDescent="0.2">
      <c r="B21" s="94" t="s">
        <v>152</v>
      </c>
      <c r="C21" s="95" t="s">
        <v>307</v>
      </c>
      <c r="D21" s="93"/>
    </row>
    <row r="22" spans="2:4" ht="38.25" x14ac:dyDescent="0.2">
      <c r="B22" s="94" t="s">
        <v>153</v>
      </c>
      <c r="C22" s="95" t="s">
        <v>308</v>
      </c>
      <c r="D22" s="93" t="s">
        <v>288</v>
      </c>
    </row>
    <row r="23" spans="2:4" x14ac:dyDescent="0.2">
      <c r="B23" s="43" t="s">
        <v>154</v>
      </c>
      <c r="C23" s="44"/>
      <c r="D23" s="41" t="s">
        <v>316</v>
      </c>
    </row>
    <row r="24" spans="2:4" ht="25.5" x14ac:dyDescent="0.2">
      <c r="B24" s="94" t="s">
        <v>155</v>
      </c>
      <c r="C24" s="95" t="s">
        <v>309</v>
      </c>
      <c r="D24" s="93" t="s">
        <v>315</v>
      </c>
    </row>
    <row r="25" spans="2:4" ht="38.25" x14ac:dyDescent="0.2">
      <c r="B25" s="94" t="s">
        <v>167</v>
      </c>
      <c r="C25" s="95" t="s">
        <v>310</v>
      </c>
      <c r="D25" s="93" t="s">
        <v>289</v>
      </c>
    </row>
    <row r="26" spans="2:4" ht="38.25" x14ac:dyDescent="0.2">
      <c r="B26" s="94" t="s">
        <v>157</v>
      </c>
      <c r="C26" s="95" t="s">
        <v>311</v>
      </c>
      <c r="D26" s="93" t="s">
        <v>290</v>
      </c>
    </row>
    <row r="27" spans="2:4" ht="38.25" x14ac:dyDescent="0.2">
      <c r="B27" s="94" t="s">
        <v>168</v>
      </c>
      <c r="C27" s="95" t="s">
        <v>312</v>
      </c>
      <c r="D27" s="93" t="s">
        <v>291</v>
      </c>
    </row>
    <row r="28" spans="2:4" ht="51" x14ac:dyDescent="0.2">
      <c r="B28" s="94" t="s">
        <v>160</v>
      </c>
      <c r="C28" s="95" t="s">
        <v>313</v>
      </c>
      <c r="D28" s="93" t="s">
        <v>292</v>
      </c>
    </row>
    <row r="29" spans="2:4" ht="38.25" x14ac:dyDescent="0.2">
      <c r="B29" s="94" t="s">
        <v>162</v>
      </c>
      <c r="C29" s="95" t="s">
        <v>314</v>
      </c>
      <c r="D29" s="93" t="s">
        <v>286</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A1"/>
  <sheetViews>
    <sheetView topLeftCell="C16" workbookViewId="0">
      <selection activeCell="I37" sqref="I37"/>
    </sheetView>
  </sheetViews>
  <sheetFormatPr baseColWidth="10" defaultRowHeight="15" x14ac:dyDescent="0.2"/>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B2:E8"/>
  <sheetViews>
    <sheetView workbookViewId="0">
      <selection activeCell="B6" sqref="B6"/>
    </sheetView>
  </sheetViews>
  <sheetFormatPr baseColWidth="10" defaultRowHeight="15" x14ac:dyDescent="0.2"/>
  <cols>
    <col min="1" max="1" width="5.88671875" customWidth="1"/>
    <col min="2" max="2" width="24.21875" customWidth="1"/>
    <col min="3" max="3" width="20.33203125" customWidth="1"/>
    <col min="4" max="4" width="20.21875" customWidth="1"/>
  </cols>
  <sheetData>
    <row r="2" spans="2:5" ht="15.75" thickBot="1" x14ac:dyDescent="0.25"/>
    <row r="3" spans="2:5" ht="16.5" thickBot="1" x14ac:dyDescent="0.3">
      <c r="B3" s="1197" t="s">
        <v>218</v>
      </c>
      <c r="C3" s="1198" t="s">
        <v>451</v>
      </c>
      <c r="D3" s="1199" t="s">
        <v>217</v>
      </c>
      <c r="E3" s="194" t="s">
        <v>110</v>
      </c>
    </row>
    <row r="4" spans="2:5" ht="16.899999999999999" customHeight="1" x14ac:dyDescent="0.2">
      <c r="B4" s="1197"/>
      <c r="C4" s="234" t="s">
        <v>491</v>
      </c>
      <c r="D4" s="234" t="s">
        <v>492</v>
      </c>
      <c r="E4" s="156" t="s">
        <v>219</v>
      </c>
    </row>
    <row r="5" spans="2:5" ht="15.75" x14ac:dyDescent="0.25">
      <c r="B5" s="152" t="s">
        <v>548</v>
      </c>
      <c r="C5" s="153">
        <v>250071995</v>
      </c>
      <c r="D5" s="154" t="e">
        <f>'EJE PRESUPUESTAL '!#REF!</f>
        <v>#REF!</v>
      </c>
      <c r="E5" s="150" t="e">
        <f>C5/D5</f>
        <v>#REF!</v>
      </c>
    </row>
    <row r="6" spans="2:5" ht="15.75" x14ac:dyDescent="0.25">
      <c r="B6" s="152" t="s">
        <v>549</v>
      </c>
      <c r="C6" s="153">
        <v>5690000</v>
      </c>
      <c r="D6" s="154">
        <v>0</v>
      </c>
      <c r="E6" s="150"/>
    </row>
    <row r="7" spans="2:5" ht="15.75" x14ac:dyDescent="0.25">
      <c r="B7" s="152"/>
      <c r="C7" s="153"/>
      <c r="D7" s="154"/>
      <c r="E7" s="150"/>
    </row>
    <row r="8" spans="2:5" ht="15.75" x14ac:dyDescent="0.25">
      <c r="B8" s="155" t="s">
        <v>221</v>
      </c>
      <c r="C8" s="151">
        <f>SUM(C5:C7)</f>
        <v>255761995</v>
      </c>
      <c r="D8" s="151" t="e">
        <f>SUM(D5:D7)</f>
        <v>#REF!</v>
      </c>
      <c r="E8" s="213" t="e">
        <f>C8/D8</f>
        <v>#REF!</v>
      </c>
    </row>
  </sheetData>
  <mergeCells count="2">
    <mergeCell ref="B3:B4"/>
    <mergeCell ref="C3:D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L113"/>
  <sheetViews>
    <sheetView showGridLines="0" zoomScale="110" zoomScaleNormal="110" workbookViewId="0">
      <selection activeCell="C29" sqref="C29"/>
    </sheetView>
  </sheetViews>
  <sheetFormatPr baseColWidth="10" defaultRowHeight="20.100000000000001" customHeight="1" x14ac:dyDescent="0.25"/>
  <cols>
    <col min="1" max="1" width="30.44140625" style="360" customWidth="1"/>
    <col min="2" max="2" width="1.6640625" style="346" customWidth="1"/>
    <col min="3" max="3" width="15.6640625" style="360" customWidth="1"/>
    <col min="4" max="4" width="8.33203125" style="360" customWidth="1"/>
    <col min="5" max="5" width="3.6640625" style="360" customWidth="1"/>
    <col min="6" max="6" width="12.77734375" style="372" customWidth="1"/>
    <col min="7" max="7" width="9.6640625" style="360" customWidth="1"/>
    <col min="8" max="8" width="1.77734375" style="360" customWidth="1"/>
    <col min="9" max="9" width="13.21875" style="360" customWidth="1"/>
    <col min="10" max="10" width="8.33203125" style="360" customWidth="1"/>
    <col min="11" max="16384" width="11.5546875" style="360"/>
  </cols>
  <sheetData>
    <row r="1" spans="1:10" ht="15.75" customHeight="1" x14ac:dyDescent="0.25">
      <c r="A1" s="350" t="s">
        <v>116</v>
      </c>
      <c r="C1" s="1181" t="s">
        <v>116</v>
      </c>
      <c r="D1" s="1181"/>
      <c r="E1" s="1181"/>
      <c r="F1" s="1181"/>
      <c r="G1" s="1181"/>
      <c r="H1" s="1181"/>
      <c r="I1" s="1181"/>
      <c r="J1" s="1181"/>
    </row>
    <row r="2" spans="1:10" ht="15.75" customHeight="1" x14ac:dyDescent="0.25">
      <c r="A2" s="350" t="s">
        <v>449</v>
      </c>
      <c r="C2" s="1181" t="s">
        <v>449</v>
      </c>
      <c r="D2" s="1181"/>
      <c r="E2" s="1181"/>
      <c r="F2" s="1181"/>
      <c r="G2" s="1181"/>
      <c r="H2" s="1181"/>
      <c r="I2" s="1181"/>
      <c r="J2" s="1181"/>
    </row>
    <row r="3" spans="1:10" ht="15.75" customHeight="1" x14ac:dyDescent="0.25">
      <c r="A3" s="350" t="s">
        <v>645</v>
      </c>
      <c r="C3" s="1181" t="s">
        <v>1055</v>
      </c>
      <c r="D3" s="1181"/>
      <c r="E3" s="1181"/>
      <c r="F3" s="1181"/>
      <c r="G3" s="1181"/>
      <c r="H3" s="1181"/>
      <c r="I3" s="1181"/>
      <c r="J3" s="1181"/>
    </row>
    <row r="4" spans="1:10" ht="14.25" x14ac:dyDescent="0.25">
      <c r="A4" s="352"/>
      <c r="C4" s="348"/>
      <c r="D4" s="352"/>
      <c r="E4" s="352"/>
      <c r="F4" s="373"/>
      <c r="G4" s="352"/>
      <c r="H4" s="352"/>
      <c r="I4" s="352"/>
      <c r="J4" s="352"/>
    </row>
    <row r="5" spans="1:10" ht="14.25" x14ac:dyDescent="0.25">
      <c r="A5" s="352"/>
      <c r="C5" s="348"/>
      <c r="D5" s="352"/>
      <c r="E5" s="352"/>
      <c r="F5" s="373"/>
      <c r="G5" s="352"/>
      <c r="H5" s="352"/>
      <c r="I5" s="352"/>
      <c r="J5" s="352"/>
    </row>
    <row r="6" spans="1:10" ht="14.25" x14ac:dyDescent="0.25">
      <c r="A6" s="352"/>
      <c r="C6" s="348"/>
      <c r="D6" s="352"/>
      <c r="E6" s="352"/>
      <c r="F6" s="373"/>
      <c r="G6" s="352"/>
      <c r="H6" s="352"/>
      <c r="I6" s="352"/>
      <c r="J6" s="352"/>
    </row>
    <row r="7" spans="1:10" ht="14.25" x14ac:dyDescent="0.25">
      <c r="A7" s="1200" t="s">
        <v>218</v>
      </c>
      <c r="C7" s="350"/>
      <c r="D7" s="357"/>
      <c r="E7" s="357"/>
      <c r="F7" s="350"/>
      <c r="G7" s="357"/>
      <c r="H7" s="357"/>
      <c r="I7" s="356"/>
      <c r="J7" s="356"/>
    </row>
    <row r="8" spans="1:10" ht="14.25" x14ac:dyDescent="0.25">
      <c r="A8" s="1200"/>
      <c r="C8" s="383">
        <v>2015</v>
      </c>
      <c r="D8" s="384" t="s">
        <v>400</v>
      </c>
      <c r="E8" s="356"/>
      <c r="F8" s="383">
        <v>2014</v>
      </c>
      <c r="G8" s="384" t="s">
        <v>400</v>
      </c>
      <c r="H8" s="356"/>
      <c r="I8" s="383" t="s">
        <v>392</v>
      </c>
      <c r="J8" s="384" t="s">
        <v>393</v>
      </c>
    </row>
    <row r="9" spans="1:10" ht="14.25" x14ac:dyDescent="0.25">
      <c r="A9" s="361" t="s">
        <v>387</v>
      </c>
      <c r="C9" s="325">
        <f>+'EJE PRESUPUESTAL '!B7</f>
        <v>6402964047</v>
      </c>
      <c r="D9" s="362">
        <f>+C9/$C$11</f>
        <v>0.95248577143499025</v>
      </c>
      <c r="E9" s="356"/>
      <c r="F9" s="393">
        <v>2233564560</v>
      </c>
      <c r="G9" s="362">
        <f>+F9/$F$11</f>
        <v>1</v>
      </c>
      <c r="H9" s="356"/>
      <c r="I9" s="364">
        <f>C9-F9</f>
        <v>4169399487</v>
      </c>
      <c r="J9" s="548">
        <f>I9/F9</f>
        <v>1.8667020249461694</v>
      </c>
    </row>
    <row r="10" spans="1:10" ht="14.25" x14ac:dyDescent="0.25">
      <c r="A10" s="369" t="s">
        <v>649</v>
      </c>
      <c r="C10" s="325">
        <f>+'EJE PRESUPUESTAL '!B8</f>
        <v>319408338</v>
      </c>
      <c r="D10" s="362"/>
      <c r="E10" s="356"/>
      <c r="F10" s="393">
        <v>0</v>
      </c>
      <c r="G10" s="362"/>
      <c r="H10" s="356"/>
      <c r="I10" s="364">
        <f>C10-F10</f>
        <v>319408338</v>
      </c>
      <c r="J10" s="365">
        <v>0</v>
      </c>
    </row>
    <row r="11" spans="1:10" ht="14.25" x14ac:dyDescent="0.25">
      <c r="A11" s="321" t="s">
        <v>401</v>
      </c>
      <c r="C11" s="313">
        <f>SUM(C9:C10)</f>
        <v>6722372385</v>
      </c>
      <c r="D11" s="366">
        <f>+C11/C11</f>
        <v>1</v>
      </c>
      <c r="E11" s="356"/>
      <c r="F11" s="313">
        <f>SUM(F9:F10)</f>
        <v>2233564560</v>
      </c>
      <c r="G11" s="366">
        <f>+F11/F11</f>
        <v>1</v>
      </c>
      <c r="H11" s="356"/>
      <c r="I11" s="313">
        <f>C11-F11</f>
        <v>4488807825</v>
      </c>
      <c r="J11" s="545">
        <f>IF(F11&lt;&gt;0,I11/F11,0)</f>
        <v>2.0097058779442669</v>
      </c>
    </row>
    <row r="12" spans="1:10" ht="14.25" x14ac:dyDescent="0.25">
      <c r="A12" s="296"/>
      <c r="C12" s="298"/>
      <c r="D12" s="374"/>
      <c r="E12" s="356"/>
      <c r="F12" s="298"/>
      <c r="G12" s="374"/>
      <c r="H12" s="356"/>
      <c r="I12" s="298"/>
      <c r="J12" s="304"/>
    </row>
    <row r="13" spans="1:10" ht="14.25" x14ac:dyDescent="0.25">
      <c r="A13" s="300"/>
      <c r="C13" s="301"/>
      <c r="D13" s="307"/>
      <c r="E13" s="356"/>
      <c r="F13" s="301"/>
      <c r="G13" s="307"/>
      <c r="H13" s="356"/>
      <c r="I13" s="301"/>
      <c r="J13" s="301"/>
    </row>
    <row r="14" spans="1:10" ht="14.25" x14ac:dyDescent="0.25">
      <c r="A14" s="1200" t="s">
        <v>222</v>
      </c>
      <c r="C14" s="294"/>
      <c r="D14" s="308"/>
      <c r="E14" s="356"/>
      <c r="F14" s="294"/>
      <c r="G14" s="308"/>
      <c r="H14" s="356"/>
      <c r="I14" s="332"/>
      <c r="J14" s="332"/>
    </row>
    <row r="15" spans="1:10" ht="14.25" x14ac:dyDescent="0.25">
      <c r="A15" s="1200"/>
      <c r="C15" s="383">
        <f>C8</f>
        <v>2015</v>
      </c>
      <c r="D15" s="384" t="s">
        <v>400</v>
      </c>
      <c r="E15" s="356"/>
      <c r="F15" s="383">
        <f>F8</f>
        <v>2014</v>
      </c>
      <c r="G15" s="384" t="s">
        <v>400</v>
      </c>
      <c r="H15" s="356"/>
      <c r="I15" s="383" t="s">
        <v>392</v>
      </c>
      <c r="J15" s="384" t="s">
        <v>393</v>
      </c>
    </row>
    <row r="16" spans="1:10" ht="14.25" x14ac:dyDescent="0.25">
      <c r="A16" s="369" t="s">
        <v>55</v>
      </c>
      <c r="C16" s="325">
        <f>+'EJE PRESUPUESTAL '!B14</f>
        <v>589747667.71000004</v>
      </c>
      <c r="D16" s="317">
        <f>+C16/$C$11</f>
        <v>8.7729098290647581E-2</v>
      </c>
      <c r="E16" s="356"/>
      <c r="F16" s="512">
        <v>165026255</v>
      </c>
      <c r="G16" s="317">
        <f>+F16/$F$11</f>
        <v>7.3884703381934036E-2</v>
      </c>
      <c r="H16" s="356"/>
      <c r="I16" s="364">
        <f>C16-F16</f>
        <v>424721412.71000004</v>
      </c>
      <c r="J16" s="365">
        <f>I16/F16</f>
        <v>2.5736596440972379</v>
      </c>
    </row>
    <row r="17" spans="1:12" ht="14.25" x14ac:dyDescent="0.25">
      <c r="A17" s="369" t="s">
        <v>648</v>
      </c>
      <c r="C17" s="325">
        <f>+'EJE PRESUPUESTAL '!B16</f>
        <v>1775503214.3399999</v>
      </c>
      <c r="D17" s="317">
        <f>+C17/$C$11</f>
        <v>0.26411854515851846</v>
      </c>
      <c r="E17" s="356"/>
      <c r="F17" s="512">
        <v>313321691</v>
      </c>
      <c r="G17" s="317">
        <f>+F17/$F$11</f>
        <v>0.1402787708092933</v>
      </c>
      <c r="H17" s="356"/>
      <c r="I17" s="364">
        <f>C17-F17</f>
        <v>1462181523.3399999</v>
      </c>
      <c r="J17" s="365">
        <f>I17/F17</f>
        <v>4.6667101746875224</v>
      </c>
    </row>
    <row r="18" spans="1:12" ht="14.25" x14ac:dyDescent="0.25">
      <c r="A18" s="369" t="s">
        <v>54</v>
      </c>
      <c r="C18" s="325">
        <f>+'EJE PRESUPUESTAL '!B17</f>
        <v>598001884</v>
      </c>
      <c r="D18" s="317">
        <f>+C18/$C$11</f>
        <v>8.8956970806073551E-2</v>
      </c>
      <c r="E18" s="356"/>
      <c r="F18" s="513">
        <v>234114843</v>
      </c>
      <c r="G18" s="317">
        <f>+F18/$F$11</f>
        <v>0.10481668951624125</v>
      </c>
      <c r="H18" s="356"/>
      <c r="I18" s="364">
        <f>C18-F18</f>
        <v>363887041</v>
      </c>
      <c r="J18" s="365">
        <f>I18/F18</f>
        <v>1.5543099973375032</v>
      </c>
      <c r="L18" s="630">
        <f>I18</f>
        <v>363887041</v>
      </c>
    </row>
    <row r="19" spans="1:12" ht="14.25" x14ac:dyDescent="0.25">
      <c r="A19" s="321" t="s">
        <v>402</v>
      </c>
      <c r="C19" s="313">
        <f>SUM(C16:C18)</f>
        <v>2963252766.0500002</v>
      </c>
      <c r="D19" s="314">
        <f>+C19/$C$11</f>
        <v>0.44080461425523965</v>
      </c>
      <c r="E19" s="356"/>
      <c r="F19" s="313">
        <f>SUM(F16:F18)</f>
        <v>712462789</v>
      </c>
      <c r="G19" s="314">
        <f>+F19/$F$11</f>
        <v>0.31898016370746857</v>
      </c>
      <c r="H19" s="356"/>
      <c r="I19" s="313">
        <f>C19-F19</f>
        <v>2250789977.0500002</v>
      </c>
      <c r="J19" s="326">
        <f>I19/F19</f>
        <v>3.1591684671829228</v>
      </c>
    </row>
    <row r="20" spans="1:12" ht="14.25" x14ac:dyDescent="0.25">
      <c r="A20" s="321" t="s">
        <v>397</v>
      </c>
      <c r="C20" s="313">
        <f>+C11-C19</f>
        <v>3759119618.9499998</v>
      </c>
      <c r="D20" s="314">
        <f>+C20/$C$11</f>
        <v>0.55919538574476035</v>
      </c>
      <c r="E20" s="356"/>
      <c r="F20" s="313">
        <f>+F11-F19</f>
        <v>1521101771</v>
      </c>
      <c r="G20" s="314">
        <f>+F20/$F$11</f>
        <v>0.68101983629253138</v>
      </c>
      <c r="H20" s="356"/>
      <c r="I20" s="313">
        <f>C20-F20</f>
        <v>2238017847.9499998</v>
      </c>
      <c r="J20" s="316">
        <f>I20/F20</f>
        <v>1.4713136823703032</v>
      </c>
    </row>
    <row r="21" spans="1:12" ht="14.25" x14ac:dyDescent="0.25">
      <c r="A21" s="296"/>
      <c r="C21" s="298"/>
      <c r="D21" s="297"/>
      <c r="E21" s="356"/>
      <c r="F21" s="298"/>
      <c r="G21" s="297"/>
      <c r="H21" s="356"/>
      <c r="I21" s="298"/>
      <c r="J21" s="299"/>
    </row>
    <row r="22" spans="1:12" ht="14.25" x14ac:dyDescent="0.25">
      <c r="A22" s="296"/>
      <c r="C22" s="298"/>
      <c r="D22" s="297"/>
      <c r="E22" s="356"/>
      <c r="F22" s="298"/>
      <c r="G22" s="297"/>
      <c r="H22" s="356"/>
      <c r="I22" s="298"/>
      <c r="J22" s="302"/>
    </row>
    <row r="23" spans="1:12" ht="14.25" x14ac:dyDescent="0.25">
      <c r="A23" s="1200" t="s">
        <v>224</v>
      </c>
      <c r="C23" s="350"/>
      <c r="D23" s="357"/>
      <c r="E23" s="356"/>
      <c r="F23" s="350"/>
      <c r="G23" s="357"/>
      <c r="H23" s="356"/>
      <c r="I23" s="356"/>
      <c r="J23" s="356"/>
    </row>
    <row r="24" spans="1:12" ht="14.25" x14ac:dyDescent="0.25">
      <c r="A24" s="1200"/>
      <c r="C24" s="383">
        <f>C8</f>
        <v>2015</v>
      </c>
      <c r="D24" s="384" t="s">
        <v>400</v>
      </c>
      <c r="E24" s="356"/>
      <c r="F24" s="383">
        <f>F8</f>
        <v>2014</v>
      </c>
      <c r="G24" s="384" t="s">
        <v>400</v>
      </c>
      <c r="H24" s="356"/>
      <c r="I24" s="383" t="s">
        <v>392</v>
      </c>
      <c r="J24" s="384" t="s">
        <v>393</v>
      </c>
    </row>
    <row r="25" spans="1:12" ht="14.25" x14ac:dyDescent="0.25">
      <c r="A25" s="361" t="s">
        <v>60</v>
      </c>
      <c r="C25" s="364">
        <f>+'EJE PRESUPUESTAL '!B25</f>
        <v>772370902</v>
      </c>
      <c r="D25" s="367">
        <f t="shared" ref="D25:D39" si="0">+C25/$C$11</f>
        <v>0.11489558414279961</v>
      </c>
      <c r="E25" s="356"/>
      <c r="F25" s="496">
        <v>281870683</v>
      </c>
      <c r="G25" s="367">
        <f t="shared" ref="G25:G40" si="1">+F25/$F$11</f>
        <v>0.12619768778924392</v>
      </c>
      <c r="H25" s="356"/>
      <c r="I25" s="364">
        <f t="shared" ref="I25:I40" si="2">C25-F25</f>
        <v>490500219</v>
      </c>
      <c r="J25" s="365">
        <f t="shared" ref="J25:J39" si="3">I25/F25</f>
        <v>1.7401604657125693</v>
      </c>
    </row>
    <row r="26" spans="1:12" ht="14.25" x14ac:dyDescent="0.25">
      <c r="A26" s="361" t="s">
        <v>61</v>
      </c>
      <c r="C26" s="364">
        <f>+'EJE PRESUPUESTAL '!B26</f>
        <v>17713835</v>
      </c>
      <c r="D26" s="367">
        <f t="shared" si="0"/>
        <v>2.6350570878111209E-3</v>
      </c>
      <c r="E26" s="356"/>
      <c r="F26" s="496">
        <v>3384000</v>
      </c>
      <c r="G26" s="367">
        <f t="shared" si="1"/>
        <v>1.5150670191507694E-3</v>
      </c>
      <c r="H26" s="356"/>
      <c r="I26" s="364">
        <f t="shared" si="2"/>
        <v>14329835</v>
      </c>
      <c r="J26" s="365">
        <f t="shared" si="3"/>
        <v>4.2345848108747042</v>
      </c>
    </row>
    <row r="27" spans="1:12" ht="14.25" x14ac:dyDescent="0.25">
      <c r="A27" s="361" t="s">
        <v>62</v>
      </c>
      <c r="C27" s="364">
        <f>+'EJE PRESUPUESTAL '!B27</f>
        <v>69827611</v>
      </c>
      <c r="D27" s="367">
        <f t="shared" si="0"/>
        <v>1.0387346460575465E-2</v>
      </c>
      <c r="E27" s="356"/>
      <c r="F27" s="496">
        <v>24315495</v>
      </c>
      <c r="G27" s="367">
        <f t="shared" si="1"/>
        <v>1.0886407957690733E-2</v>
      </c>
      <c r="H27" s="356"/>
      <c r="I27" s="364">
        <f t="shared" si="2"/>
        <v>45512116</v>
      </c>
      <c r="J27" s="365">
        <f t="shared" si="3"/>
        <v>1.8717330656850704</v>
      </c>
    </row>
    <row r="28" spans="1:12" ht="14.25" x14ac:dyDescent="0.25">
      <c r="A28" s="361" t="s">
        <v>63</v>
      </c>
      <c r="C28" s="364">
        <f>+'EJE PRESUPUESTAL '!B28</f>
        <v>8232858</v>
      </c>
      <c r="D28" s="367">
        <f t="shared" si="0"/>
        <v>1.2246953201180033E-3</v>
      </c>
      <c r="E28" s="356"/>
      <c r="F28" s="496">
        <v>2995456</v>
      </c>
      <c r="G28" s="367">
        <f t="shared" si="1"/>
        <v>1.3411101042899785E-3</v>
      </c>
      <c r="H28" s="356"/>
      <c r="I28" s="364">
        <f t="shared" si="2"/>
        <v>5237402</v>
      </c>
      <c r="J28" s="365">
        <f t="shared" si="3"/>
        <v>1.7484489840611914</v>
      </c>
    </row>
    <row r="29" spans="1:12" ht="14.25" x14ac:dyDescent="0.25">
      <c r="A29" s="361" t="s">
        <v>64</v>
      </c>
      <c r="C29" s="364">
        <f>+'EJE PRESUPUESTAL '!B29</f>
        <v>65593179</v>
      </c>
      <c r="D29" s="367">
        <f t="shared" si="0"/>
        <v>9.7574450273480353E-3</v>
      </c>
      <c r="E29" s="356"/>
      <c r="F29" s="496">
        <v>25887890</v>
      </c>
      <c r="G29" s="367">
        <f t="shared" si="1"/>
        <v>1.1590392533807036E-2</v>
      </c>
      <c r="H29" s="356"/>
      <c r="I29" s="364">
        <f t="shared" si="2"/>
        <v>39705289</v>
      </c>
      <c r="J29" s="365">
        <f t="shared" si="3"/>
        <v>1.5337398683322587</v>
      </c>
    </row>
    <row r="30" spans="1:12" ht="14.25" x14ac:dyDescent="0.25">
      <c r="A30" s="361" t="s">
        <v>65</v>
      </c>
      <c r="C30" s="364">
        <f>+'EJE PRESUPUESTAL '!B30</f>
        <v>33000000</v>
      </c>
      <c r="D30" s="367">
        <f t="shared" si="0"/>
        <v>4.9089812509694819E-3</v>
      </c>
      <c r="E30" s="356"/>
      <c r="F30" s="496">
        <v>12861033</v>
      </c>
      <c r="G30" s="367">
        <f t="shared" si="1"/>
        <v>5.7580753340749644E-3</v>
      </c>
      <c r="H30" s="356"/>
      <c r="I30" s="364">
        <f t="shared" si="2"/>
        <v>20138967</v>
      </c>
      <c r="J30" s="365">
        <f t="shared" si="3"/>
        <v>1.5658903137873916</v>
      </c>
    </row>
    <row r="31" spans="1:12" ht="14.25" x14ac:dyDescent="0.25">
      <c r="A31" s="361" t="s">
        <v>66</v>
      </c>
      <c r="C31" s="364">
        <f>+'EJE PRESUPUESTAL '!B31</f>
        <v>69550920</v>
      </c>
      <c r="D31" s="367">
        <f t="shared" si="0"/>
        <v>1.0346186735384193E-2</v>
      </c>
      <c r="E31" s="356"/>
      <c r="F31" s="496">
        <v>61687544</v>
      </c>
      <c r="G31" s="367">
        <f t="shared" si="1"/>
        <v>2.7618428902722203E-2</v>
      </c>
      <c r="H31" s="356"/>
      <c r="I31" s="364">
        <f t="shared" si="2"/>
        <v>7863376</v>
      </c>
      <c r="J31" s="365">
        <f t="shared" si="3"/>
        <v>0.12747104990920047</v>
      </c>
    </row>
    <row r="32" spans="1:12" ht="14.25" x14ac:dyDescent="0.25">
      <c r="A32" s="361" t="s">
        <v>67</v>
      </c>
      <c r="C32" s="364">
        <f>+'EJE PRESUPUESTAL '!B32</f>
        <v>140315500</v>
      </c>
      <c r="D32" s="367">
        <f t="shared" si="0"/>
        <v>2.0872913900618434E-2</v>
      </c>
      <c r="E32" s="356"/>
      <c r="F32" s="496">
        <v>26905890</v>
      </c>
      <c r="G32" s="367">
        <f t="shared" si="1"/>
        <v>1.2046166241104756E-2</v>
      </c>
      <c r="H32" s="356"/>
      <c r="I32" s="364">
        <f t="shared" si="2"/>
        <v>113409610</v>
      </c>
      <c r="J32" s="365">
        <v>0</v>
      </c>
    </row>
    <row r="33" spans="1:10" ht="14.25" x14ac:dyDescent="0.25">
      <c r="A33" s="361" t="s">
        <v>68</v>
      </c>
      <c r="C33" s="364">
        <f>+'EJE PRESUPUESTAL '!B33</f>
        <v>3505799</v>
      </c>
      <c r="D33" s="367">
        <f t="shared" si="0"/>
        <v>5.2151216850507753E-4</v>
      </c>
      <c r="E33" s="356"/>
      <c r="F33" s="496">
        <v>9240012</v>
      </c>
      <c r="G33" s="367">
        <f t="shared" si="1"/>
        <v>4.1368904957911762E-3</v>
      </c>
      <c r="H33" s="356"/>
      <c r="I33" s="364">
        <f t="shared" si="2"/>
        <v>-5734213</v>
      </c>
      <c r="J33" s="365">
        <v>0</v>
      </c>
    </row>
    <row r="34" spans="1:10" ht="14.25" x14ac:dyDescent="0.25">
      <c r="A34" s="361" t="s">
        <v>90</v>
      </c>
      <c r="C34" s="364">
        <v>0</v>
      </c>
      <c r="D34" s="367">
        <f t="shared" si="0"/>
        <v>0</v>
      </c>
      <c r="E34" s="356"/>
      <c r="F34" s="496">
        <v>11418167</v>
      </c>
      <c r="G34" s="367">
        <f t="shared" si="1"/>
        <v>5.1120828134916321E-3</v>
      </c>
      <c r="H34" s="356"/>
      <c r="I34" s="364">
        <f t="shared" si="2"/>
        <v>-11418167</v>
      </c>
      <c r="J34" s="365">
        <v>0</v>
      </c>
    </row>
    <row r="35" spans="1:10" ht="14.25" x14ac:dyDescent="0.25">
      <c r="A35" s="361" t="s">
        <v>69</v>
      </c>
      <c r="C35" s="364">
        <f>+'EJE PRESUPUESTAL '!B35</f>
        <v>10034660</v>
      </c>
      <c r="D35" s="367">
        <f t="shared" si="0"/>
        <v>1.4927259939349522E-3</v>
      </c>
      <c r="E35" s="356"/>
      <c r="F35" s="496">
        <v>14654303</v>
      </c>
      <c r="G35" s="367">
        <f t="shared" si="1"/>
        <v>6.5609489255148284E-3</v>
      </c>
      <c r="H35" s="356"/>
      <c r="I35" s="364">
        <f t="shared" si="2"/>
        <v>-4619643</v>
      </c>
      <c r="J35" s="365">
        <f t="shared" si="3"/>
        <v>-0.31524140042689169</v>
      </c>
    </row>
    <row r="36" spans="1:10" ht="14.25" x14ac:dyDescent="0.25">
      <c r="A36" s="361" t="s">
        <v>225</v>
      </c>
      <c r="C36" s="364">
        <f>+'EJE PRESUPUESTAL '!B36</f>
        <v>72010474</v>
      </c>
      <c r="D36" s="367">
        <f t="shared" si="0"/>
        <v>1.0712062628467436E-2</v>
      </c>
      <c r="E36" s="356"/>
      <c r="F36" s="496">
        <v>24057768</v>
      </c>
      <c r="G36" s="367">
        <f t="shared" si="1"/>
        <v>1.077101975507706E-2</v>
      </c>
      <c r="H36" s="356"/>
      <c r="I36" s="364">
        <f t="shared" si="2"/>
        <v>47952706</v>
      </c>
      <c r="J36" s="365">
        <f t="shared" si="3"/>
        <v>1.9932317079456414</v>
      </c>
    </row>
    <row r="37" spans="1:10" ht="14.25" x14ac:dyDescent="0.25">
      <c r="A37" s="361" t="s">
        <v>226</v>
      </c>
      <c r="C37" s="364">
        <f>+'EJE PRESUPUESTAL '!B37</f>
        <v>100070014</v>
      </c>
      <c r="D37" s="367">
        <f t="shared" si="0"/>
        <v>1.4886115833644048E-2</v>
      </c>
      <c r="E37" s="356"/>
      <c r="F37" s="496">
        <v>34009105</v>
      </c>
      <c r="G37" s="367">
        <f t="shared" si="1"/>
        <v>1.5226381009555416E-2</v>
      </c>
      <c r="H37" s="356"/>
      <c r="I37" s="364">
        <f t="shared" si="2"/>
        <v>66060909</v>
      </c>
      <c r="J37" s="365">
        <f t="shared" si="3"/>
        <v>1.942447735687252</v>
      </c>
    </row>
    <row r="38" spans="1:10" ht="14.25" x14ac:dyDescent="0.25">
      <c r="A38" s="361" t="s">
        <v>227</v>
      </c>
      <c r="C38" s="364">
        <f>+'EJE PRESUPUESTAL '!B38</f>
        <v>16955800</v>
      </c>
      <c r="D38" s="367">
        <f t="shared" si="0"/>
        <v>2.5222940695511617E-3</v>
      </c>
      <c r="E38" s="356"/>
      <c r="F38" s="526">
        <v>3983548</v>
      </c>
      <c r="G38" s="367">
        <f t="shared" si="1"/>
        <v>1.7834935561477569E-3</v>
      </c>
      <c r="H38" s="356"/>
      <c r="I38" s="364">
        <f t="shared" si="2"/>
        <v>12972252</v>
      </c>
      <c r="J38" s="365">
        <f t="shared" si="3"/>
        <v>3.2564568068465598</v>
      </c>
    </row>
    <row r="39" spans="1:10" ht="14.25" x14ac:dyDescent="0.25">
      <c r="A39" s="361" t="s">
        <v>647</v>
      </c>
      <c r="C39" s="364">
        <f>+'EJE PRESUPUESTAL '!B39</f>
        <v>71372000</v>
      </c>
      <c r="D39" s="367">
        <f t="shared" si="0"/>
        <v>1.0617085146793754E-2</v>
      </c>
      <c r="E39" s="356"/>
      <c r="F39" s="527">
        <v>25582780</v>
      </c>
      <c r="G39" s="367">
        <f t="shared" si="1"/>
        <v>1.1453790258921372E-2</v>
      </c>
      <c r="H39" s="356"/>
      <c r="I39" s="364">
        <f t="shared" si="2"/>
        <v>45789220</v>
      </c>
      <c r="J39" s="365">
        <f t="shared" si="3"/>
        <v>1.789845356915863</v>
      </c>
    </row>
    <row r="40" spans="1:10" ht="14.25" x14ac:dyDescent="0.25">
      <c r="A40" s="361" t="e">
        <f>+'EJE PRESUPUESTAL '!#REF!</f>
        <v>#REF!</v>
      </c>
      <c r="C40" s="364">
        <v>0</v>
      </c>
      <c r="D40" s="367"/>
      <c r="E40" s="356"/>
      <c r="F40" s="527">
        <v>0</v>
      </c>
      <c r="G40" s="367">
        <f t="shared" si="1"/>
        <v>0</v>
      </c>
      <c r="H40" s="356"/>
      <c r="I40" s="364">
        <f t="shared" si="2"/>
        <v>0</v>
      </c>
      <c r="J40" s="365">
        <v>0</v>
      </c>
    </row>
    <row r="41" spans="1:10" ht="14.25" x14ac:dyDescent="0.25">
      <c r="A41" s="321" t="s">
        <v>403</v>
      </c>
      <c r="C41" s="313">
        <f>SUM(C25:C40)</f>
        <v>1450553552</v>
      </c>
      <c r="D41" s="366">
        <f>C41/$C$11</f>
        <v>0.21578000576652076</v>
      </c>
      <c r="E41" s="356"/>
      <c r="F41" s="313">
        <f>SUM(F25:F40)</f>
        <v>562853674</v>
      </c>
      <c r="G41" s="366">
        <f>F41/F11</f>
        <v>0.2519979426965836</v>
      </c>
      <c r="H41" s="356"/>
      <c r="I41" s="313">
        <f>C41-F41</f>
        <v>887699878</v>
      </c>
      <c r="J41" s="326">
        <f>I41/F41</f>
        <v>1.5771414827790571</v>
      </c>
    </row>
    <row r="42" spans="1:10" ht="14.25" x14ac:dyDescent="0.25">
      <c r="A42" s="296"/>
      <c r="C42" s="298"/>
      <c r="D42" s="374"/>
      <c r="E42" s="356"/>
      <c r="F42" s="298"/>
      <c r="G42" s="374"/>
      <c r="H42" s="356"/>
      <c r="I42" s="298"/>
      <c r="J42" s="304"/>
    </row>
    <row r="43" spans="1:10" ht="14.25" x14ac:dyDescent="0.25">
      <c r="A43" s="300"/>
      <c r="C43" s="301"/>
      <c r="D43" s="307"/>
      <c r="E43" s="356"/>
      <c r="F43" s="301"/>
      <c r="G43" s="307"/>
      <c r="H43" s="356"/>
      <c r="I43" s="301"/>
      <c r="J43" s="375"/>
    </row>
    <row r="44" spans="1:10" ht="14.25" x14ac:dyDescent="0.25">
      <c r="A44" s="1200" t="s">
        <v>229</v>
      </c>
      <c r="C44" s="294"/>
      <c r="D44" s="308"/>
      <c r="E44" s="356"/>
      <c r="F44" s="294"/>
      <c r="G44" s="308"/>
      <c r="H44" s="356"/>
      <c r="I44" s="332"/>
      <c r="J44" s="332"/>
    </row>
    <row r="45" spans="1:10" ht="14.25" x14ac:dyDescent="0.25">
      <c r="A45" s="1200"/>
      <c r="C45" s="383">
        <f>C8</f>
        <v>2015</v>
      </c>
      <c r="D45" s="384" t="s">
        <v>400</v>
      </c>
      <c r="E45" s="356"/>
      <c r="F45" s="383">
        <f>F8</f>
        <v>2014</v>
      </c>
      <c r="G45" s="384" t="s">
        <v>400</v>
      </c>
      <c r="H45" s="356"/>
      <c r="I45" s="383" t="s">
        <v>392</v>
      </c>
      <c r="J45" s="384" t="s">
        <v>393</v>
      </c>
    </row>
    <row r="46" spans="1:10" ht="14.25" x14ac:dyDescent="0.25">
      <c r="A46" s="368" t="s">
        <v>230</v>
      </c>
      <c r="C46" s="325">
        <f>+'EJE PRESUPUESTAL '!B45</f>
        <v>31325496</v>
      </c>
      <c r="D46" s="317">
        <f>+C46/$C$11</f>
        <v>4.6598870467066513E-3</v>
      </c>
      <c r="E46" s="356"/>
      <c r="F46" s="497">
        <v>8080000</v>
      </c>
      <c r="G46" s="317">
        <f t="shared" ref="G46:G87" si="4">+F46/$F$11</f>
        <v>3.6175359086105842E-3</v>
      </c>
      <c r="H46" s="356"/>
      <c r="I46" s="364">
        <f>C46-F46</f>
        <v>23245496</v>
      </c>
      <c r="J46" s="365">
        <f t="shared" ref="J46:J92" si="5">I46/F46</f>
        <v>2.876917821782178</v>
      </c>
    </row>
    <row r="47" spans="1:10" ht="14.25" x14ac:dyDescent="0.25">
      <c r="A47" s="368" t="s">
        <v>231</v>
      </c>
      <c r="C47" s="325">
        <f>+'EJE PRESUPUESTAL '!B46</f>
        <v>46410000</v>
      </c>
      <c r="D47" s="317">
        <f>+C47/$C$11</f>
        <v>6.9038127229543531E-3</v>
      </c>
      <c r="E47" s="356"/>
      <c r="F47" s="497">
        <v>14584000</v>
      </c>
      <c r="G47" s="317">
        <f t="shared" si="4"/>
        <v>6.5294732291060345E-3</v>
      </c>
      <c r="H47" s="356"/>
      <c r="I47" s="364">
        <f>C47-F47</f>
        <v>31826000</v>
      </c>
      <c r="J47" s="365">
        <f t="shared" si="5"/>
        <v>2.1822545255074055</v>
      </c>
    </row>
    <row r="48" spans="1:10" ht="14.25" x14ac:dyDescent="0.25">
      <c r="A48" s="368" t="s">
        <v>73</v>
      </c>
      <c r="C48" s="325">
        <f>+'EJE PRESUPUESTAL '!B47</f>
        <v>5254647</v>
      </c>
      <c r="D48" s="317">
        <f t="shared" ref="D48:D89" si="6">+C48/$C$11</f>
        <v>7.8166556374130414E-4</v>
      </c>
      <c r="E48" s="356"/>
      <c r="F48" s="497">
        <v>3950000</v>
      </c>
      <c r="G48" s="317">
        <f t="shared" si="4"/>
        <v>1.7684736186895803E-3</v>
      </c>
      <c r="H48" s="356"/>
      <c r="I48" s="364">
        <f t="shared" ref="I48:I90" si="7">C48-F48</f>
        <v>1304647</v>
      </c>
      <c r="J48" s="365">
        <f t="shared" si="5"/>
        <v>0.33029037974683545</v>
      </c>
    </row>
    <row r="49" spans="1:10" ht="14.25" x14ac:dyDescent="0.25">
      <c r="A49" s="368" t="s">
        <v>643</v>
      </c>
      <c r="C49" s="325">
        <f>+'EJE PRESUPUESTAL '!B48</f>
        <v>10838861</v>
      </c>
      <c r="D49" s="317">
        <f t="shared" si="6"/>
        <v>1.61235652820801E-3</v>
      </c>
      <c r="E49" s="356"/>
      <c r="F49" s="497">
        <v>3645417</v>
      </c>
      <c r="G49" s="317">
        <f t="shared" si="4"/>
        <v>1.632107289524687E-3</v>
      </c>
      <c r="H49" s="356"/>
      <c r="I49" s="364">
        <f t="shared" si="7"/>
        <v>7193444</v>
      </c>
      <c r="J49" s="365">
        <v>0</v>
      </c>
    </row>
    <row r="50" spans="1:10" ht="14.25" x14ac:dyDescent="0.25">
      <c r="A50" s="368" t="s">
        <v>493</v>
      </c>
      <c r="C50" s="325">
        <f>+'EJE PRESUPUESTAL '!B49</f>
        <v>16137190</v>
      </c>
      <c r="D50" s="317">
        <f t="shared" si="6"/>
        <v>2.4005200955555216E-3</v>
      </c>
      <c r="E50" s="356"/>
      <c r="F50" s="497">
        <v>4974224</v>
      </c>
      <c r="G50" s="317">
        <f t="shared" si="4"/>
        <v>2.2270339031525465E-3</v>
      </c>
      <c r="H50" s="356"/>
      <c r="I50" s="364">
        <f t="shared" si="7"/>
        <v>11162966</v>
      </c>
      <c r="J50" s="365">
        <f t="shared" si="5"/>
        <v>2.2441623055174031</v>
      </c>
    </row>
    <row r="51" spans="1:10" ht="14.25" x14ac:dyDescent="0.25">
      <c r="A51" s="368" t="e">
        <f>'EJE PRESUPUESTAL '!#REF!</f>
        <v>#REF!</v>
      </c>
      <c r="C51" s="325" t="e">
        <f>+'EJE PRESUPUESTAL '!#REF!</f>
        <v>#REF!</v>
      </c>
      <c r="D51" s="317"/>
      <c r="E51" s="356"/>
      <c r="F51" s="497">
        <v>0</v>
      </c>
      <c r="G51" s="317">
        <f t="shared" si="4"/>
        <v>0</v>
      </c>
      <c r="H51" s="356"/>
      <c r="I51" s="364" t="e">
        <f t="shared" si="7"/>
        <v>#REF!</v>
      </c>
      <c r="J51" s="365">
        <v>0</v>
      </c>
    </row>
    <row r="52" spans="1:10" ht="14.25" x14ac:dyDescent="0.25">
      <c r="A52" s="368" t="s">
        <v>77</v>
      </c>
      <c r="C52" s="325">
        <f>+'EJE PRESUPUESTAL '!B50</f>
        <v>8201770</v>
      </c>
      <c r="D52" s="317">
        <f t="shared" si="6"/>
        <v>1.2200707622655748E-3</v>
      </c>
      <c r="E52" s="356"/>
      <c r="F52" s="497">
        <v>16000000</v>
      </c>
      <c r="G52" s="317">
        <f t="shared" si="4"/>
        <v>7.163437442793236E-3</v>
      </c>
      <c r="H52" s="356"/>
      <c r="I52" s="364">
        <f t="shared" si="7"/>
        <v>-7798230</v>
      </c>
      <c r="J52" s="365">
        <v>0</v>
      </c>
    </row>
    <row r="53" spans="1:10" ht="14.25" x14ac:dyDescent="0.25">
      <c r="A53" s="368" t="s">
        <v>436</v>
      </c>
      <c r="C53" s="325">
        <f>+'EJE PRESUPUESTAL '!B51</f>
        <v>3594000</v>
      </c>
      <c r="D53" s="317">
        <f t="shared" si="6"/>
        <v>5.3463268533285812E-4</v>
      </c>
      <c r="E53" s="356"/>
      <c r="F53" s="497">
        <v>11100000</v>
      </c>
      <c r="G53" s="317">
        <f t="shared" si="4"/>
        <v>4.9696347259378078E-3</v>
      </c>
      <c r="H53" s="356"/>
      <c r="I53" s="364">
        <f t="shared" si="7"/>
        <v>-7506000</v>
      </c>
      <c r="J53" s="365">
        <f t="shared" si="5"/>
        <v>-0.67621621621621619</v>
      </c>
    </row>
    <row r="54" spans="1:10" ht="14.25" x14ac:dyDescent="0.25">
      <c r="A54" s="368" t="s">
        <v>232</v>
      </c>
      <c r="C54" s="325">
        <f>+'EJE PRESUPUESTAL '!B52</f>
        <v>16208942</v>
      </c>
      <c r="D54" s="317">
        <f t="shared" si="6"/>
        <v>2.4111937083652053E-3</v>
      </c>
      <c r="E54" s="356"/>
      <c r="F54" s="497">
        <v>4850000</v>
      </c>
      <c r="G54" s="317">
        <f t="shared" si="4"/>
        <v>2.1714169748466997E-3</v>
      </c>
      <c r="H54" s="356"/>
      <c r="I54" s="364">
        <f t="shared" si="7"/>
        <v>11358942</v>
      </c>
      <c r="J54" s="365">
        <f t="shared" si="5"/>
        <v>2.3420498969072163</v>
      </c>
    </row>
    <row r="55" spans="1:10" ht="14.25" x14ac:dyDescent="0.25">
      <c r="A55" s="368" t="s">
        <v>233</v>
      </c>
      <c r="C55" s="325">
        <f>+'EJE PRESUPUESTAL '!B53</f>
        <v>17201508</v>
      </c>
      <c r="D55" s="317">
        <f t="shared" si="6"/>
        <v>2.5588448563758047E-3</v>
      </c>
      <c r="E55" s="356"/>
      <c r="F55" s="497">
        <v>7446353</v>
      </c>
      <c r="G55" s="317">
        <f t="shared" si="4"/>
        <v>3.333842743278484E-3</v>
      </c>
      <c r="H55" s="356"/>
      <c r="I55" s="364">
        <f t="shared" si="7"/>
        <v>9755155</v>
      </c>
      <c r="J55" s="365">
        <f t="shared" si="5"/>
        <v>1.3100580915248041</v>
      </c>
    </row>
    <row r="56" spans="1:10" ht="14.25" x14ac:dyDescent="0.25">
      <c r="A56" s="368" t="s">
        <v>79</v>
      </c>
      <c r="C56" s="325">
        <f>+'EJE PRESUPUESTAL '!B55</f>
        <v>37658482</v>
      </c>
      <c r="D56" s="317">
        <f t="shared" si="6"/>
        <v>5.60196309327187E-3</v>
      </c>
      <c r="E56" s="356"/>
      <c r="F56" s="497">
        <v>19403806</v>
      </c>
      <c r="G56" s="317">
        <f t="shared" si="4"/>
        <v>8.6873719020685043E-3</v>
      </c>
      <c r="H56" s="356"/>
      <c r="I56" s="364">
        <f t="shared" si="7"/>
        <v>18254676</v>
      </c>
      <c r="J56" s="365">
        <f t="shared" si="5"/>
        <v>0.94077811332477768</v>
      </c>
    </row>
    <row r="57" spans="1:10" ht="14.25" x14ac:dyDescent="0.25">
      <c r="A57" s="368" t="s">
        <v>234</v>
      </c>
      <c r="C57" s="325">
        <f>+'EJE PRESUPUESTAL '!B55</f>
        <v>37658482</v>
      </c>
      <c r="D57" s="317">
        <f t="shared" si="6"/>
        <v>5.60196309327187E-3</v>
      </c>
      <c r="E57" s="356"/>
      <c r="F57" s="497">
        <v>11559557</v>
      </c>
      <c r="G57" s="317">
        <f t="shared" si="4"/>
        <v>5.1753852147439156E-3</v>
      </c>
      <c r="H57" s="356"/>
      <c r="I57" s="364">
        <f t="shared" si="7"/>
        <v>26098925</v>
      </c>
      <c r="J57" s="365">
        <f t="shared" si="5"/>
        <v>2.2577789962020169</v>
      </c>
    </row>
    <row r="58" spans="1:10" ht="14.25" x14ac:dyDescent="0.25">
      <c r="A58" s="368" t="s">
        <v>81</v>
      </c>
      <c r="C58" s="325">
        <f>+'EJE PRESUPUESTAL '!B56</f>
        <v>6337103</v>
      </c>
      <c r="D58" s="317">
        <f t="shared" si="6"/>
        <v>9.4268847916552899E-4</v>
      </c>
      <c r="E58" s="356"/>
      <c r="F58" s="497">
        <v>8500000</v>
      </c>
      <c r="G58" s="317">
        <f t="shared" si="4"/>
        <v>3.8055761414839068E-3</v>
      </c>
      <c r="H58" s="356"/>
      <c r="I58" s="364">
        <f t="shared" si="7"/>
        <v>-2162897</v>
      </c>
      <c r="J58" s="365">
        <f t="shared" si="5"/>
        <v>-0.25445847058823529</v>
      </c>
    </row>
    <row r="59" spans="1:10" ht="14.25" x14ac:dyDescent="0.25">
      <c r="A59" s="368" t="s">
        <v>82</v>
      </c>
      <c r="C59" s="325">
        <f>+'EJE PRESUPUESTAL '!B57</f>
        <v>31316684</v>
      </c>
      <c r="D59" s="317">
        <f t="shared" si="6"/>
        <v>4.6585761999556347E-3</v>
      </c>
      <c r="E59" s="356"/>
      <c r="F59" s="497">
        <v>6500000</v>
      </c>
      <c r="G59" s="317">
        <f t="shared" si="4"/>
        <v>2.9101464611347521E-3</v>
      </c>
      <c r="H59" s="356"/>
      <c r="I59" s="364">
        <f t="shared" si="7"/>
        <v>24816684</v>
      </c>
      <c r="J59" s="365">
        <f t="shared" si="5"/>
        <v>3.8179513846153847</v>
      </c>
    </row>
    <row r="60" spans="1:10" ht="14.25" x14ac:dyDescent="0.25">
      <c r="A60" s="368" t="s">
        <v>83</v>
      </c>
      <c r="C60" s="325">
        <f>+'EJE PRESUPUESTAL '!B58</f>
        <v>10710860</v>
      </c>
      <c r="D60" s="317">
        <f t="shared" si="6"/>
        <v>1.593315482477545E-3</v>
      </c>
      <c r="E60" s="356"/>
      <c r="F60" s="497">
        <v>17000000</v>
      </c>
      <c r="G60" s="317">
        <f t="shared" si="4"/>
        <v>7.6111522829678136E-3</v>
      </c>
      <c r="H60" s="356"/>
      <c r="I60" s="364">
        <f t="shared" si="7"/>
        <v>-6289140</v>
      </c>
      <c r="J60" s="365">
        <v>0</v>
      </c>
    </row>
    <row r="61" spans="1:10" ht="14.25" x14ac:dyDescent="0.25">
      <c r="A61" s="368" t="s">
        <v>84</v>
      </c>
      <c r="C61" s="325">
        <f>+'EJE PRESUPUESTAL '!B59</f>
        <v>46311725</v>
      </c>
      <c r="D61" s="317">
        <f t="shared" si="6"/>
        <v>6.889193628031959E-3</v>
      </c>
      <c r="E61" s="356"/>
      <c r="F61" s="497">
        <v>26000000</v>
      </c>
      <c r="G61" s="317">
        <f t="shared" si="4"/>
        <v>1.1640585844539008E-2</v>
      </c>
      <c r="H61" s="356"/>
      <c r="I61" s="364">
        <f t="shared" si="7"/>
        <v>20311725</v>
      </c>
      <c r="J61" s="365">
        <f t="shared" si="5"/>
        <v>0.78122019230769235</v>
      </c>
    </row>
    <row r="62" spans="1:10" ht="14.25" x14ac:dyDescent="0.25">
      <c r="A62" s="368" t="s">
        <v>85</v>
      </c>
      <c r="C62" s="325">
        <f>+'EJE PRESUPUESTAL '!B60</f>
        <v>37578006</v>
      </c>
      <c r="D62" s="317">
        <f t="shared" si="6"/>
        <v>5.5899917243278398E-3</v>
      </c>
      <c r="E62" s="356"/>
      <c r="F62" s="497">
        <v>4531200</v>
      </c>
      <c r="G62" s="317">
        <f t="shared" si="4"/>
        <v>2.0286854837990444E-3</v>
      </c>
      <c r="H62" s="356"/>
      <c r="I62" s="364">
        <f t="shared" si="7"/>
        <v>33046806</v>
      </c>
      <c r="J62" s="365">
        <v>0</v>
      </c>
    </row>
    <row r="63" spans="1:10" ht="14.25" x14ac:dyDescent="0.25">
      <c r="A63" s="368" t="s">
        <v>86</v>
      </c>
      <c r="C63" s="325">
        <f>+'EJE PRESUPUESTAL '!B61</f>
        <v>14663714</v>
      </c>
      <c r="D63" s="317">
        <f t="shared" si="6"/>
        <v>2.1813302150175367E-3</v>
      </c>
      <c r="E63" s="356"/>
      <c r="F63" s="497">
        <v>17220000</v>
      </c>
      <c r="G63" s="317">
        <f t="shared" si="4"/>
        <v>7.7096495478062204E-3</v>
      </c>
      <c r="H63" s="356"/>
      <c r="I63" s="364">
        <f t="shared" si="7"/>
        <v>-2556286</v>
      </c>
      <c r="J63" s="365">
        <v>0</v>
      </c>
    </row>
    <row r="64" spans="1:10" ht="14.25" x14ac:dyDescent="0.25">
      <c r="A64" s="368" t="s">
        <v>87</v>
      </c>
      <c r="C64" s="325">
        <f>+'EJE PRESUPUESTAL '!B62</f>
        <v>40890907</v>
      </c>
      <c r="D64" s="317">
        <f t="shared" si="6"/>
        <v>6.0828089635799011E-3</v>
      </c>
      <c r="E64" s="356"/>
      <c r="F64" s="497">
        <v>20950361</v>
      </c>
      <c r="G64" s="317">
        <f t="shared" si="4"/>
        <v>9.3797875267146967E-3</v>
      </c>
      <c r="H64" s="356"/>
      <c r="I64" s="364">
        <f t="shared" si="7"/>
        <v>19940546</v>
      </c>
      <c r="J64" s="365">
        <f t="shared" si="5"/>
        <v>0.95179963724730088</v>
      </c>
    </row>
    <row r="65" spans="1:12" ht="14.25" x14ac:dyDescent="0.25">
      <c r="A65" s="368" t="s">
        <v>235</v>
      </c>
      <c r="C65" s="325">
        <f>+'EJE PRESUPUESTAL '!B63</f>
        <v>18716646</v>
      </c>
      <c r="D65" s="317">
        <f t="shared" si="6"/>
        <v>2.784232251364635E-3</v>
      </c>
      <c r="E65" s="356"/>
      <c r="F65" s="497">
        <v>12621868</v>
      </c>
      <c r="G65" s="317">
        <f t="shared" si="4"/>
        <v>5.6509976143246116E-3</v>
      </c>
      <c r="H65" s="356"/>
      <c r="I65" s="364">
        <f t="shared" si="7"/>
        <v>6094778</v>
      </c>
      <c r="J65" s="365">
        <v>0</v>
      </c>
    </row>
    <row r="66" spans="1:12" ht="14.25" x14ac:dyDescent="0.25">
      <c r="A66" s="368" t="s">
        <v>88</v>
      </c>
      <c r="C66" s="325">
        <f>+'EJE PRESUPUESTAL '!B64</f>
        <v>3102099</v>
      </c>
      <c r="D66" s="317">
        <f t="shared" si="6"/>
        <v>4.6145896453488424E-4</v>
      </c>
      <c r="E66" s="356"/>
      <c r="F66" s="497">
        <v>2057174</v>
      </c>
      <c r="G66" s="317">
        <f t="shared" si="4"/>
        <v>9.210273286212958E-4</v>
      </c>
      <c r="H66" s="356"/>
      <c r="I66" s="364">
        <f t="shared" si="7"/>
        <v>1044925</v>
      </c>
      <c r="J66" s="365">
        <v>0</v>
      </c>
    </row>
    <row r="67" spans="1:12" ht="14.25" x14ac:dyDescent="0.25">
      <c r="A67" s="368" t="s">
        <v>90</v>
      </c>
      <c r="C67" s="325">
        <f>+'EJE PRESUPUESTAL '!B65</f>
        <v>11207846</v>
      </c>
      <c r="D67" s="317">
        <f t="shared" si="6"/>
        <v>1.667245632659191E-3</v>
      </c>
      <c r="E67" s="356"/>
      <c r="F67" s="497">
        <v>9900000</v>
      </c>
      <c r="G67" s="317">
        <f t="shared" si="4"/>
        <v>4.4323769177283152E-3</v>
      </c>
      <c r="H67" s="356"/>
      <c r="I67" s="364">
        <f t="shared" si="7"/>
        <v>1307846</v>
      </c>
      <c r="J67" s="365">
        <f t="shared" si="5"/>
        <v>0.13210565656565657</v>
      </c>
    </row>
    <row r="68" spans="1:12" ht="14.25" x14ac:dyDescent="0.25">
      <c r="A68" s="368" t="s">
        <v>91</v>
      </c>
      <c r="C68" s="325" t="e">
        <f>+'EJE PRESUPUESTAL '!#REF!</f>
        <v>#REF!</v>
      </c>
      <c r="D68" s="317" t="e">
        <f t="shared" si="6"/>
        <v>#REF!</v>
      </c>
      <c r="E68" s="356"/>
      <c r="F68" s="497">
        <v>12752947</v>
      </c>
      <c r="G68" s="317">
        <f t="shared" si="4"/>
        <v>5.7096836278598545E-3</v>
      </c>
      <c r="H68" s="356"/>
      <c r="I68" s="364" t="e">
        <f t="shared" si="7"/>
        <v>#REF!</v>
      </c>
      <c r="J68" s="365" t="e">
        <f t="shared" si="5"/>
        <v>#REF!</v>
      </c>
    </row>
    <row r="69" spans="1:12" ht="14.25" x14ac:dyDescent="0.25">
      <c r="A69" s="368" t="s">
        <v>438</v>
      </c>
      <c r="C69" s="325">
        <f>+'EJE PRESUPUESTAL '!B66</f>
        <v>0</v>
      </c>
      <c r="D69" s="317">
        <f t="shared" si="6"/>
        <v>0</v>
      </c>
      <c r="E69" s="356"/>
      <c r="F69" s="497">
        <v>2468290</v>
      </c>
      <c r="G69" s="317">
        <f t="shared" si="4"/>
        <v>1.1050900628545074E-3</v>
      </c>
      <c r="H69" s="356"/>
      <c r="I69" s="364">
        <f t="shared" si="7"/>
        <v>-2468290</v>
      </c>
      <c r="J69" s="365">
        <f t="shared" si="5"/>
        <v>-1</v>
      </c>
    </row>
    <row r="70" spans="1:12" ht="14.25" x14ac:dyDescent="0.25">
      <c r="A70" s="368" t="s">
        <v>93</v>
      </c>
      <c r="C70" s="325">
        <f>+'EJE PRESUPUESTAL '!B67</f>
        <v>0</v>
      </c>
      <c r="D70" s="317">
        <f t="shared" si="6"/>
        <v>0</v>
      </c>
      <c r="E70" s="356"/>
      <c r="F70" s="497">
        <v>556000</v>
      </c>
      <c r="G70" s="317">
        <f t="shared" si="4"/>
        <v>2.4892945113706494E-4</v>
      </c>
      <c r="H70" s="356"/>
      <c r="I70" s="364">
        <f t="shared" si="7"/>
        <v>-556000</v>
      </c>
      <c r="J70" s="365">
        <v>0</v>
      </c>
    </row>
    <row r="71" spans="1:12" ht="14.25" x14ac:dyDescent="0.25">
      <c r="A71" s="368" t="s">
        <v>236</v>
      </c>
      <c r="C71" s="325">
        <f>+'EJE PRESUPUESTAL '!B71</f>
        <v>471519112</v>
      </c>
      <c r="D71" s="317">
        <f t="shared" si="6"/>
        <v>7.0141772129750882E-2</v>
      </c>
      <c r="E71" s="356"/>
      <c r="F71" s="497">
        <v>0</v>
      </c>
      <c r="G71" s="317">
        <f t="shared" si="4"/>
        <v>0</v>
      </c>
      <c r="H71" s="356"/>
      <c r="I71" s="364">
        <f t="shared" si="7"/>
        <v>471519112</v>
      </c>
      <c r="J71" s="365">
        <v>0</v>
      </c>
      <c r="L71" s="630">
        <f>I71+I72</f>
        <v>463365786</v>
      </c>
    </row>
    <row r="72" spans="1:12" ht="14.25" x14ac:dyDescent="0.25">
      <c r="A72" s="368" t="str">
        <f>+'EJE PRESUPUESTAL '!A72</f>
        <v>PROVISION GENERAL</v>
      </c>
      <c r="C72" s="325">
        <f>+'EJE PRESUPUESTAL '!B72</f>
        <v>22549996</v>
      </c>
      <c r="D72" s="317"/>
      <c r="E72" s="356"/>
      <c r="F72" s="497">
        <v>30703322</v>
      </c>
      <c r="G72" s="317">
        <f t="shared" si="4"/>
        <v>1.3746332902058582E-2</v>
      </c>
      <c r="H72" s="356"/>
      <c r="I72" s="364">
        <f t="shared" si="7"/>
        <v>-8153326</v>
      </c>
      <c r="J72" s="365">
        <v>0</v>
      </c>
      <c r="L72" s="630"/>
    </row>
    <row r="73" spans="1:12" ht="14.25" x14ac:dyDescent="0.25">
      <c r="A73" s="369" t="s">
        <v>437</v>
      </c>
      <c r="C73" s="325" t="e">
        <f>+'EJE PRESUPUESTAL '!#REF!</f>
        <v>#REF!</v>
      </c>
      <c r="D73" s="317" t="e">
        <f t="shared" si="6"/>
        <v>#REF!</v>
      </c>
      <c r="E73" s="356"/>
      <c r="F73" s="497">
        <v>13956000</v>
      </c>
      <c r="G73" s="317">
        <f t="shared" si="4"/>
        <v>6.2483083094764004E-3</v>
      </c>
      <c r="H73" s="356"/>
      <c r="I73" s="364" t="e">
        <f t="shared" si="7"/>
        <v>#REF!</v>
      </c>
      <c r="J73" s="365" t="e">
        <f t="shared" si="5"/>
        <v>#REF!</v>
      </c>
      <c r="L73" s="630"/>
    </row>
    <row r="74" spans="1:12" ht="14.25" x14ac:dyDescent="0.25">
      <c r="A74" s="369" t="str">
        <f>'EJE PRESUPUESTAL '!A74</f>
        <v>PROVISION INTERESES CORRIENETS CRED CONSUMO</v>
      </c>
      <c r="C74" s="325">
        <f>+'EJE PRESUPUESTAL '!B74</f>
        <v>38090226</v>
      </c>
      <c r="D74" s="317"/>
      <c r="E74" s="356"/>
      <c r="F74" s="497">
        <v>0</v>
      </c>
      <c r="G74" s="317">
        <f t="shared" si="4"/>
        <v>0</v>
      </c>
      <c r="H74" s="356"/>
      <c r="I74" s="364">
        <f t="shared" si="7"/>
        <v>38090226</v>
      </c>
      <c r="J74" s="365">
        <v>0</v>
      </c>
      <c r="L74" s="630"/>
    </row>
    <row r="75" spans="1:12" ht="14.25" x14ac:dyDescent="0.25">
      <c r="A75" s="369" t="s">
        <v>390</v>
      </c>
      <c r="C75" s="325">
        <f>+'EJE PRESUPUESTAL '!B75</f>
        <v>49298484</v>
      </c>
      <c r="D75" s="317">
        <f t="shared" si="6"/>
        <v>7.3334949593096667E-3</v>
      </c>
      <c r="E75" s="356"/>
      <c r="F75" s="497">
        <v>19545440</v>
      </c>
      <c r="G75" s="317">
        <f t="shared" si="4"/>
        <v>8.7507835457417901E-3</v>
      </c>
      <c r="H75" s="356"/>
      <c r="I75" s="364">
        <f t="shared" si="7"/>
        <v>29753044</v>
      </c>
      <c r="J75" s="365">
        <v>0</v>
      </c>
      <c r="L75" s="630"/>
    </row>
    <row r="76" spans="1:12" ht="14.25" x14ac:dyDescent="0.25">
      <c r="A76" s="368" t="s">
        <v>238</v>
      </c>
      <c r="C76" s="325">
        <f>+'EJE PRESUPUESTAL '!B76</f>
        <v>23288200</v>
      </c>
      <c r="D76" s="317">
        <f t="shared" si="6"/>
        <v>3.4642829445099238E-3</v>
      </c>
      <c r="E76" s="356"/>
      <c r="F76" s="497">
        <v>20113631</v>
      </c>
      <c r="G76" s="317">
        <f t="shared" si="4"/>
        <v>9.0051710884954221E-3</v>
      </c>
      <c r="H76" s="356"/>
      <c r="I76" s="364">
        <f t="shared" si="7"/>
        <v>3174569</v>
      </c>
      <c r="J76" s="365">
        <f t="shared" si="5"/>
        <v>0.15783172118450417</v>
      </c>
      <c r="L76" s="630"/>
    </row>
    <row r="77" spans="1:12" ht="14.25" x14ac:dyDescent="0.25">
      <c r="A77" s="368" t="s">
        <v>237</v>
      </c>
      <c r="C77" s="325">
        <f>+'EJE PRESUPUESTAL '!B77</f>
        <v>9037200</v>
      </c>
      <c r="D77" s="317">
        <f t="shared" si="6"/>
        <v>1.3443468291291334E-3</v>
      </c>
      <c r="E77" s="356"/>
      <c r="F77" s="497">
        <v>8526000</v>
      </c>
      <c r="G77" s="317">
        <f t="shared" si="4"/>
        <v>3.8172167273284457E-3</v>
      </c>
      <c r="H77" s="356"/>
      <c r="I77" s="364">
        <f t="shared" si="7"/>
        <v>511200</v>
      </c>
      <c r="J77" s="365">
        <f t="shared" si="5"/>
        <v>5.9957776213933847E-2</v>
      </c>
      <c r="L77" s="630"/>
    </row>
    <row r="78" spans="1:12" ht="14.25" x14ac:dyDescent="0.25">
      <c r="A78" s="368" t="e">
        <f>'EJE PRESUPUESTAL '!#REF!</f>
        <v>#REF!</v>
      </c>
      <c r="C78" s="325">
        <v>0</v>
      </c>
      <c r="D78" s="317"/>
      <c r="E78" s="356"/>
      <c r="F78" s="497">
        <v>0</v>
      </c>
      <c r="G78" s="317">
        <f t="shared" si="4"/>
        <v>0</v>
      </c>
      <c r="H78" s="356"/>
      <c r="I78" s="364">
        <f t="shared" si="7"/>
        <v>0</v>
      </c>
      <c r="J78" s="365">
        <v>0</v>
      </c>
      <c r="L78" s="630"/>
    </row>
    <row r="79" spans="1:12" ht="14.25" x14ac:dyDescent="0.25">
      <c r="A79" s="369" t="s">
        <v>33</v>
      </c>
      <c r="C79" s="325">
        <v>0</v>
      </c>
      <c r="D79" s="317">
        <f t="shared" si="6"/>
        <v>0</v>
      </c>
      <c r="E79" s="356"/>
      <c r="F79" s="497">
        <v>0</v>
      </c>
      <c r="G79" s="317">
        <f t="shared" si="4"/>
        <v>0</v>
      </c>
      <c r="H79" s="356"/>
      <c r="I79" s="364">
        <f t="shared" si="7"/>
        <v>0</v>
      </c>
      <c r="J79" s="365">
        <v>0</v>
      </c>
      <c r="L79" s="630"/>
    </row>
    <row r="80" spans="1:12" ht="14.25" x14ac:dyDescent="0.25">
      <c r="A80" s="369" t="s">
        <v>239</v>
      </c>
      <c r="C80" s="325">
        <f>+'EJE PRESUPUESTAL '!B78</f>
        <v>17483585</v>
      </c>
      <c r="D80" s="317">
        <f t="shared" si="6"/>
        <v>2.6008057868100384E-3</v>
      </c>
      <c r="E80" s="356"/>
      <c r="F80" s="515">
        <v>16386330</v>
      </c>
      <c r="G80" s="317">
        <f t="shared" si="4"/>
        <v>7.336403116997881E-3</v>
      </c>
      <c r="H80" s="356"/>
      <c r="I80" s="364">
        <f t="shared" si="7"/>
        <v>1097255</v>
      </c>
      <c r="J80" s="365">
        <f t="shared" si="5"/>
        <v>6.6961607632703604E-2</v>
      </c>
      <c r="L80" s="630">
        <f>I80</f>
        <v>1097255</v>
      </c>
    </row>
    <row r="81" spans="1:12" ht="14.25" x14ac:dyDescent="0.25">
      <c r="A81" s="369" t="s">
        <v>240</v>
      </c>
      <c r="C81" s="325">
        <f>+'EJE PRESUPUESTAL '!B79</f>
        <v>0</v>
      </c>
      <c r="D81" s="317">
        <f t="shared" si="6"/>
        <v>0</v>
      </c>
      <c r="E81" s="356"/>
      <c r="F81" s="497">
        <v>2825869</v>
      </c>
      <c r="G81" s="317">
        <f t="shared" si="4"/>
        <v>1.2651834876892924E-3</v>
      </c>
      <c r="H81" s="356"/>
      <c r="I81" s="364">
        <f t="shared" si="7"/>
        <v>-2825869</v>
      </c>
      <c r="J81" s="365">
        <v>0</v>
      </c>
      <c r="L81" s="630"/>
    </row>
    <row r="82" spans="1:12" ht="14.25" x14ac:dyDescent="0.25">
      <c r="A82" s="369" t="s">
        <v>241</v>
      </c>
      <c r="C82" s="325">
        <f>+'EJE PRESUPUESTAL '!B80</f>
        <v>48707093.329999998</v>
      </c>
      <c r="D82" s="317">
        <f t="shared" si="6"/>
        <v>7.2455214529148701E-3</v>
      </c>
      <c r="E82" s="356"/>
      <c r="F82" s="497">
        <v>14004181</v>
      </c>
      <c r="G82" s="317">
        <f t="shared" si="4"/>
        <v>6.2698796581908516E-3</v>
      </c>
      <c r="H82" s="356"/>
      <c r="I82" s="364">
        <f t="shared" si="7"/>
        <v>34702912.329999998</v>
      </c>
      <c r="J82" s="365">
        <f t="shared" si="5"/>
        <v>2.4780394033753206</v>
      </c>
      <c r="L82" s="630"/>
    </row>
    <row r="83" spans="1:12" ht="14.25" x14ac:dyDescent="0.25">
      <c r="A83" s="369" t="s">
        <v>242</v>
      </c>
      <c r="C83" s="325">
        <f>+'EJE PRESUPUESTAL '!B81</f>
        <v>14688353</v>
      </c>
      <c r="D83" s="317">
        <f t="shared" si="6"/>
        <v>2.1849954389279195E-3</v>
      </c>
      <c r="E83" s="356"/>
      <c r="F83" s="497">
        <v>5230877</v>
      </c>
      <c r="G83" s="317">
        <f t="shared" si="4"/>
        <v>2.3419412600278722E-3</v>
      </c>
      <c r="H83" s="356"/>
      <c r="I83" s="364">
        <f t="shared" si="7"/>
        <v>9457476</v>
      </c>
      <c r="J83" s="365">
        <f t="shared" si="5"/>
        <v>1.8080096320368457</v>
      </c>
      <c r="L83" s="630"/>
    </row>
    <row r="84" spans="1:12" ht="14.25" x14ac:dyDescent="0.25">
      <c r="A84" s="369" t="s">
        <v>243</v>
      </c>
      <c r="C84" s="325">
        <f>+'EJE PRESUPUESTAL '!B82</f>
        <v>55123572.399999999</v>
      </c>
      <c r="D84" s="317">
        <f t="shared" si="6"/>
        <v>8.2000176787290543E-3</v>
      </c>
      <c r="E84" s="356"/>
      <c r="F84" s="497">
        <v>17271319</v>
      </c>
      <c r="G84" s="317">
        <f t="shared" si="4"/>
        <v>7.7326258256891394E-3</v>
      </c>
      <c r="H84" s="356"/>
      <c r="I84" s="364">
        <f t="shared" si="7"/>
        <v>37852253.399999999</v>
      </c>
      <c r="J84" s="365">
        <f t="shared" si="5"/>
        <v>2.1916249361151858</v>
      </c>
      <c r="L84" s="630"/>
    </row>
    <row r="85" spans="1:12" ht="14.25" x14ac:dyDescent="0.25">
      <c r="A85" s="369" t="s">
        <v>244</v>
      </c>
      <c r="C85" s="325">
        <f>+'EJE PRESUPUESTAL '!B83</f>
        <v>267956998</v>
      </c>
      <c r="D85" s="317">
        <f t="shared" si="6"/>
        <v>3.9860481189335363E-2</v>
      </c>
      <c r="E85" s="356"/>
      <c r="F85" s="497">
        <v>129262500</v>
      </c>
      <c r="G85" s="317">
        <f t="shared" si="4"/>
        <v>5.7872739528066292E-2</v>
      </c>
      <c r="H85" s="356"/>
      <c r="I85" s="364">
        <f t="shared" si="7"/>
        <v>138694498</v>
      </c>
      <c r="J85" s="365">
        <v>0</v>
      </c>
      <c r="L85" s="630"/>
    </row>
    <row r="86" spans="1:12" ht="14.25" x14ac:dyDescent="0.25">
      <c r="A86" s="369" t="s">
        <v>245</v>
      </c>
      <c r="C86" s="325">
        <f>+'EJE PRESUPUESTAL '!B85</f>
        <v>2150000</v>
      </c>
      <c r="D86" s="317">
        <f t="shared" si="6"/>
        <v>3.1982756635104203E-4</v>
      </c>
      <c r="E86" s="356"/>
      <c r="F86" s="497">
        <v>4686402</v>
      </c>
      <c r="G86" s="317">
        <f t="shared" si="4"/>
        <v>2.0981717224238194E-3</v>
      </c>
      <c r="H86" s="356"/>
      <c r="I86" s="364">
        <f t="shared" si="7"/>
        <v>-2536402</v>
      </c>
      <c r="J86" s="365">
        <v>0</v>
      </c>
      <c r="L86" s="630"/>
    </row>
    <row r="87" spans="1:12" ht="14.25" x14ac:dyDescent="0.25">
      <c r="A87" s="369" t="s">
        <v>642</v>
      </c>
      <c r="C87" s="325">
        <f>+'EJE PRESUPUESTAL '!B86</f>
        <v>0</v>
      </c>
      <c r="D87" s="317">
        <f t="shared" si="6"/>
        <v>0</v>
      </c>
      <c r="E87" s="356"/>
      <c r="F87" s="497">
        <v>3000000</v>
      </c>
      <c r="G87" s="317">
        <f t="shared" si="4"/>
        <v>1.3431445205237319E-3</v>
      </c>
      <c r="H87" s="356"/>
      <c r="I87" s="364">
        <f t="shared" si="7"/>
        <v>-3000000</v>
      </c>
      <c r="J87" s="365">
        <f t="shared" si="5"/>
        <v>-1</v>
      </c>
      <c r="L87" s="630"/>
    </row>
    <row r="88" spans="1:12" ht="14.25" x14ac:dyDescent="0.25">
      <c r="A88" s="369" t="s">
        <v>679</v>
      </c>
      <c r="C88" s="325"/>
      <c r="D88" s="317">
        <f t="shared" si="6"/>
        <v>0</v>
      </c>
      <c r="E88" s="356"/>
      <c r="F88" s="393">
        <v>5688000</v>
      </c>
      <c r="G88" s="317">
        <f>+F88/$F$11</f>
        <v>2.5466020109129956E-3</v>
      </c>
      <c r="H88" s="356"/>
      <c r="I88" s="364">
        <f t="shared" si="7"/>
        <v>-5688000</v>
      </c>
      <c r="J88" s="365">
        <v>0</v>
      </c>
      <c r="L88" s="630"/>
    </row>
    <row r="89" spans="1:12" ht="14.25" x14ac:dyDescent="0.25">
      <c r="A89" s="369" t="s">
        <v>690</v>
      </c>
      <c r="C89" s="325" t="e">
        <f>+'EJE PRESUPUESTAL '!#REF!</f>
        <v>#REF!</v>
      </c>
      <c r="D89" s="317" t="e">
        <f t="shared" si="6"/>
        <v>#REF!</v>
      </c>
      <c r="E89" s="356"/>
      <c r="F89" s="573">
        <v>20000000</v>
      </c>
      <c r="G89" s="317">
        <f>+F89/$F$11</f>
        <v>8.9542968034915446E-3</v>
      </c>
      <c r="H89" s="356"/>
      <c r="I89" s="364" t="e">
        <f t="shared" si="7"/>
        <v>#REF!</v>
      </c>
      <c r="J89" s="365"/>
      <c r="K89" s="507"/>
      <c r="L89" s="630"/>
    </row>
    <row r="90" spans="1:12" ht="14.25" x14ac:dyDescent="0.25">
      <c r="A90" s="369" t="s">
        <v>1052</v>
      </c>
      <c r="C90" s="325" t="e">
        <f>+'EJE PRESUPUESTAL '!#REF!</f>
        <v>#REF!</v>
      </c>
      <c r="D90" s="317"/>
      <c r="E90" s="356"/>
      <c r="F90" s="573">
        <v>0</v>
      </c>
      <c r="G90" s="317">
        <f>+F90/$F$11</f>
        <v>0</v>
      </c>
      <c r="H90" s="356"/>
      <c r="I90" s="364" t="e">
        <f t="shared" si="7"/>
        <v>#REF!</v>
      </c>
      <c r="J90" s="365"/>
      <c r="K90" s="507"/>
      <c r="L90" s="630"/>
    </row>
    <row r="91" spans="1:12" ht="14.25" x14ac:dyDescent="0.25">
      <c r="A91" s="321" t="s">
        <v>246</v>
      </c>
      <c r="C91" s="313" t="e">
        <f>SUM(C46:C90)</f>
        <v>#REF!</v>
      </c>
      <c r="D91" s="366" t="e">
        <f>+C91/$C$11</f>
        <v>#REF!</v>
      </c>
      <c r="E91" s="356"/>
      <c r="F91" s="313">
        <f>SUM(F46:F90)</f>
        <v>557851068</v>
      </c>
      <c r="G91" s="366">
        <f>+F91/$F$11</f>
        <v>0.24975820175083724</v>
      </c>
      <c r="H91" s="356"/>
      <c r="I91" s="313" t="e">
        <f>C91-F91</f>
        <v>#REF!</v>
      </c>
      <c r="J91" s="326" t="e">
        <f t="shared" si="5"/>
        <v>#REF!</v>
      </c>
      <c r="L91" s="630"/>
    </row>
    <row r="92" spans="1:12" ht="14.25" x14ac:dyDescent="0.25">
      <c r="A92" s="321" t="s">
        <v>247</v>
      </c>
      <c r="C92" s="313" t="e">
        <f>+C19+C41+C91</f>
        <v>#REF!</v>
      </c>
      <c r="D92" s="366" t="e">
        <f>+C92/$C$11</f>
        <v>#REF!</v>
      </c>
      <c r="E92" s="356"/>
      <c r="F92" s="313">
        <f>SUM(F91,F41,F19)</f>
        <v>1833167531</v>
      </c>
      <c r="G92" s="366">
        <f>+F92/$F$11</f>
        <v>0.8207363081548894</v>
      </c>
      <c r="H92" s="356"/>
      <c r="I92" s="313" t="e">
        <f>C92-F92</f>
        <v>#REF!</v>
      </c>
      <c r="J92" s="326" t="e">
        <f t="shared" si="5"/>
        <v>#REF!</v>
      </c>
      <c r="L92" s="630"/>
    </row>
    <row r="93" spans="1:12" ht="14.25" x14ac:dyDescent="0.25">
      <c r="A93" s="376"/>
      <c r="C93" s="348"/>
      <c r="D93" s="377"/>
      <c r="E93" s="356"/>
      <c r="F93" s="348"/>
      <c r="G93" s="377"/>
      <c r="H93" s="356"/>
      <c r="I93" s="348"/>
      <c r="J93" s="416"/>
      <c r="L93" s="630"/>
    </row>
    <row r="94" spans="1:12" ht="14.25" x14ac:dyDescent="0.25">
      <c r="A94" s="321" t="s">
        <v>398</v>
      </c>
      <c r="C94" s="313" t="e">
        <f>+C11-C92</f>
        <v>#REF!</v>
      </c>
      <c r="D94" s="366" t="e">
        <f>C94/C11</f>
        <v>#REF!</v>
      </c>
      <c r="E94" s="356"/>
      <c r="F94" s="313">
        <f>+F11-F92</f>
        <v>400397029</v>
      </c>
      <c r="G94" s="366">
        <f>+F94/$F$11</f>
        <v>0.17926369184511057</v>
      </c>
      <c r="H94" s="356"/>
      <c r="I94" s="313" t="e">
        <f>C94-F94</f>
        <v>#REF!</v>
      </c>
      <c r="J94" s="326" t="e">
        <f>I94/F94</f>
        <v>#REF!</v>
      </c>
      <c r="L94" s="630"/>
    </row>
    <row r="95" spans="1:12" s="295" customFormat="1" ht="14.25" x14ac:dyDescent="0.25">
      <c r="A95" s="296"/>
      <c r="B95" s="346"/>
      <c r="C95" s="298"/>
      <c r="D95" s="374"/>
      <c r="E95" s="356"/>
      <c r="F95" s="298"/>
      <c r="G95" s="374"/>
      <c r="H95" s="356"/>
      <c r="I95" s="298"/>
      <c r="J95" s="299"/>
      <c r="L95" s="631"/>
    </row>
    <row r="96" spans="1:12" s="295" customFormat="1" ht="14.25" x14ac:dyDescent="0.25">
      <c r="A96" s="303"/>
      <c r="B96" s="346"/>
      <c r="D96" s="378"/>
      <c r="E96" s="356"/>
      <c r="G96" s="378"/>
      <c r="H96" s="356"/>
      <c r="J96" s="301"/>
      <c r="L96" s="631"/>
    </row>
    <row r="97" spans="1:12" ht="14.25" x14ac:dyDescent="0.25">
      <c r="A97" s="1200" t="s">
        <v>404</v>
      </c>
      <c r="C97" s="294"/>
      <c r="D97" s="308"/>
      <c r="E97" s="356"/>
      <c r="F97" s="294"/>
      <c r="G97" s="308"/>
      <c r="H97" s="356"/>
      <c r="I97" s="332"/>
      <c r="J97" s="332"/>
      <c r="L97" s="630"/>
    </row>
    <row r="98" spans="1:12" ht="14.25" x14ac:dyDescent="0.25">
      <c r="A98" s="1200"/>
      <c r="C98" s="383">
        <f>C8</f>
        <v>2015</v>
      </c>
      <c r="D98" s="384" t="s">
        <v>400</v>
      </c>
      <c r="E98" s="356"/>
      <c r="F98" s="383">
        <f>F8</f>
        <v>2014</v>
      </c>
      <c r="G98" s="384" t="s">
        <v>400</v>
      </c>
      <c r="H98" s="356"/>
      <c r="I98" s="383" t="s">
        <v>392</v>
      </c>
      <c r="J98" s="384" t="s">
        <v>393</v>
      </c>
      <c r="L98" s="630"/>
    </row>
    <row r="99" spans="1:12" ht="14.25" x14ac:dyDescent="0.25">
      <c r="A99" s="312" t="s">
        <v>249</v>
      </c>
      <c r="C99" s="318">
        <f>+'EJE PRESUPUESTAL '!B97</f>
        <v>325865654.75999999</v>
      </c>
      <c r="D99" s="362">
        <f>+C99/$C$11</f>
        <v>4.8474799683385882E-2</v>
      </c>
      <c r="E99" s="356"/>
      <c r="F99" s="370">
        <v>20722700</v>
      </c>
      <c r="G99" s="362">
        <f>+F99/$F$11</f>
        <v>9.2778603184857124E-3</v>
      </c>
      <c r="H99" s="356"/>
      <c r="I99" s="364">
        <f>C99-F99</f>
        <v>305142954.75999999</v>
      </c>
      <c r="J99" s="365">
        <f>IF(F99&lt;&gt;0,I99/F99,0)</f>
        <v>14.725057775289899</v>
      </c>
      <c r="L99" s="630"/>
    </row>
    <row r="100" spans="1:12" ht="14.25" x14ac:dyDescent="0.25">
      <c r="A100" s="312" t="e">
        <f>'EJE PRESUPUESTAL '!#REF!</f>
        <v>#REF!</v>
      </c>
      <c r="C100" s="318" t="e">
        <f>'EJE PRESUPUESTAL '!#REF!</f>
        <v>#REF!</v>
      </c>
      <c r="D100" s="362"/>
      <c r="E100" s="356"/>
      <c r="F100" s="370">
        <v>26606311</v>
      </c>
      <c r="G100" s="362"/>
      <c r="H100" s="356"/>
      <c r="I100" s="364"/>
      <c r="J100" s="365"/>
      <c r="L100" s="630"/>
    </row>
    <row r="101" spans="1:12" ht="14.25" x14ac:dyDescent="0.25">
      <c r="A101" s="321" t="s">
        <v>405</v>
      </c>
      <c r="C101" s="313" t="e">
        <f>SUM(C99:C100)</f>
        <v>#REF!</v>
      </c>
      <c r="D101" s="371" t="e">
        <f>+C101/$C$11</f>
        <v>#REF!</v>
      </c>
      <c r="E101" s="356"/>
      <c r="F101" s="313">
        <f>SUM(F99:F100)</f>
        <v>47329011</v>
      </c>
      <c r="G101" s="371">
        <f>+F101/$F$11</f>
        <v>2.1189900595485811E-2</v>
      </c>
      <c r="H101" s="356"/>
      <c r="I101" s="313" t="e">
        <f>C101-F101</f>
        <v>#REF!</v>
      </c>
      <c r="J101" s="365">
        <v>0</v>
      </c>
      <c r="L101" s="630"/>
    </row>
    <row r="102" spans="1:12" s="295" customFormat="1" ht="14.25" x14ac:dyDescent="0.25">
      <c r="A102" s="309"/>
      <c r="B102" s="346"/>
      <c r="C102" s="378"/>
      <c r="D102" s="333"/>
      <c r="E102" s="356"/>
      <c r="F102" s="305"/>
      <c r="G102" s="378"/>
      <c r="H102" s="356"/>
      <c r="I102" s="378"/>
      <c r="J102" s="378"/>
      <c r="L102" s="631"/>
    </row>
    <row r="103" spans="1:12" s="295" customFormat="1" ht="14.25" x14ac:dyDescent="0.25">
      <c r="A103" s="309"/>
      <c r="B103" s="346"/>
      <c r="C103" s="378"/>
      <c r="D103" s="333"/>
      <c r="E103" s="356"/>
      <c r="F103" s="305"/>
      <c r="G103" s="378"/>
      <c r="H103" s="356"/>
      <c r="I103" s="378"/>
      <c r="J103" s="378"/>
      <c r="L103" s="631"/>
    </row>
    <row r="104" spans="1:12" ht="14.25" x14ac:dyDescent="0.25">
      <c r="A104" s="385" t="s">
        <v>399</v>
      </c>
      <c r="C104" s="485">
        <f>+'EJE PRESUPUESTAL '!B102</f>
        <v>601693056.9799993</v>
      </c>
      <c r="D104" s="387">
        <f>+C104/$C$11</f>
        <v>8.9506058653131174E-2</v>
      </c>
      <c r="E104" s="483"/>
      <c r="F104" s="386">
        <f>+F94+F101</f>
        <v>447726040</v>
      </c>
      <c r="G104" s="387">
        <f>+F104/$F$11</f>
        <v>0.20045359244059638</v>
      </c>
      <c r="H104" s="483"/>
      <c r="I104" s="386">
        <f>C104-F104</f>
        <v>153967016.9799993</v>
      </c>
      <c r="J104" s="388">
        <f>I104/F104</f>
        <v>0.34388667002705336</v>
      </c>
      <c r="L104" s="630"/>
    </row>
    <row r="105" spans="1:12" ht="20.100000000000001" customHeight="1" x14ac:dyDescent="0.25">
      <c r="A105" s="379"/>
      <c r="C105" s="632">
        <f>C104-'EJE PRESUPUESTAL '!B102</f>
        <v>0</v>
      </c>
      <c r="D105" s="380"/>
      <c r="E105" s="380"/>
      <c r="F105" s="307"/>
      <c r="G105" s="380"/>
      <c r="H105" s="380"/>
      <c r="I105" s="380"/>
      <c r="J105" s="380"/>
      <c r="K105" s="295"/>
      <c r="L105" s="630"/>
    </row>
    <row r="106" spans="1:12" ht="20.100000000000001" customHeight="1" x14ac:dyDescent="0.25">
      <c r="A106" s="307"/>
      <c r="C106" s="418"/>
      <c r="D106" s="377"/>
      <c r="E106" s="377"/>
      <c r="F106" s="418"/>
      <c r="G106" s="377"/>
      <c r="H106" s="377"/>
      <c r="I106" s="377"/>
      <c r="J106" s="377"/>
      <c r="K106" s="343"/>
      <c r="L106" s="630"/>
    </row>
    <row r="107" spans="1:12" ht="20.100000000000001" customHeight="1" x14ac:dyDescent="0.25">
      <c r="A107" s="311" t="s">
        <v>450</v>
      </c>
      <c r="B107" s="1181" t="s">
        <v>1026</v>
      </c>
      <c r="C107" s="1181"/>
      <c r="D107" s="1181"/>
      <c r="E107" s="1181"/>
      <c r="F107" s="475"/>
      <c r="G107" s="1181" t="s">
        <v>258</v>
      </c>
      <c r="H107" s="1181"/>
      <c r="I107" s="1181"/>
      <c r="J107" s="1181"/>
      <c r="K107" s="346"/>
      <c r="L107" s="630"/>
    </row>
    <row r="108" spans="1:12" ht="24.75" customHeight="1" x14ac:dyDescent="0.25">
      <c r="A108" s="417" t="s">
        <v>49</v>
      </c>
      <c r="B108" s="1189" t="s">
        <v>1027</v>
      </c>
      <c r="C108" s="1189"/>
      <c r="D108" s="1189"/>
      <c r="E108" s="1189"/>
      <c r="F108" s="357"/>
      <c r="G108" s="1201" t="s">
        <v>279</v>
      </c>
      <c r="H108" s="1201"/>
      <c r="I108" s="1201"/>
      <c r="J108" s="1201"/>
      <c r="K108" s="346"/>
      <c r="L108" s="630"/>
    </row>
    <row r="109" spans="1:12" ht="20.100000000000001" customHeight="1" x14ac:dyDescent="0.25">
      <c r="A109" s="295"/>
      <c r="C109" s="343"/>
      <c r="D109" s="343"/>
      <c r="E109" s="343"/>
      <c r="F109" s="381"/>
      <c r="G109" s="343"/>
      <c r="H109" s="343"/>
      <c r="I109" s="343"/>
      <c r="J109" s="343"/>
      <c r="K109" s="343"/>
      <c r="L109" s="630"/>
    </row>
    <row r="110" spans="1:12" ht="20.100000000000001" customHeight="1" x14ac:dyDescent="0.25">
      <c r="A110" s="385" t="s">
        <v>435</v>
      </c>
      <c r="B110" s="518"/>
      <c r="C110" s="519">
        <f>C104+SUM(C76:C81)</f>
        <v>651502041.9799993</v>
      </c>
      <c r="D110" s="519"/>
      <c r="E110" s="519"/>
      <c r="F110" s="519">
        <f>F104+SUM(F76:F81)</f>
        <v>495577870</v>
      </c>
      <c r="G110" s="343"/>
      <c r="H110" s="343"/>
      <c r="I110" s="343"/>
      <c r="J110" s="343"/>
      <c r="K110" s="343"/>
    </row>
    <row r="111" spans="1:12" ht="20.100000000000001" customHeight="1" x14ac:dyDescent="0.25">
      <c r="C111" s="343"/>
      <c r="D111" s="343"/>
      <c r="E111" s="343"/>
      <c r="F111" s="381"/>
      <c r="G111" s="343"/>
      <c r="H111" s="343"/>
      <c r="I111" s="343"/>
      <c r="J111" s="343"/>
      <c r="K111" s="343"/>
    </row>
    <row r="113" spans="3:11" ht="20.100000000000001" customHeight="1" x14ac:dyDescent="0.25">
      <c r="C113" s="360" t="e">
        <f>C101+C11</f>
        <v>#REF!</v>
      </c>
      <c r="F113" s="360">
        <f>F99+F11</f>
        <v>2254287260</v>
      </c>
      <c r="I113" s="360" t="e">
        <f>C113-F113</f>
        <v>#REF!</v>
      </c>
      <c r="K113" s="566" t="e">
        <f>I113/F113</f>
        <v>#REF!</v>
      </c>
    </row>
  </sheetData>
  <mergeCells count="12">
    <mergeCell ref="G107:J107"/>
    <mergeCell ref="G108:J108"/>
    <mergeCell ref="B107:E107"/>
    <mergeCell ref="B108:E108"/>
    <mergeCell ref="A44:A45"/>
    <mergeCell ref="A97:A98"/>
    <mergeCell ref="A14:A15"/>
    <mergeCell ref="A23:A24"/>
    <mergeCell ref="A7:A8"/>
    <mergeCell ref="C1:J1"/>
    <mergeCell ref="C2:J2"/>
    <mergeCell ref="C3:J3"/>
  </mergeCells>
  <pageMargins left="0.70866141732283472" right="0.70866141732283472" top="0.74803149606299213" bottom="1.1417322834645669" header="0.31496062992125984" footer="0.31496062992125984"/>
  <pageSetup scale="70" firstPageNumber="0" orientation="portrait" verticalDpi="300" r:id="rId1"/>
  <headerFooter alignWithMargins="0"/>
  <ignoredErrors>
    <ignoredError sqref="F11"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42</vt:i4>
      </vt:variant>
      <vt:variant>
        <vt:lpstr>Rangos con nombre</vt:lpstr>
      </vt:variant>
      <vt:variant>
        <vt:i4>25</vt:i4>
      </vt:variant>
    </vt:vector>
  </HeadingPairs>
  <TitlesOfParts>
    <vt:vector size="67" baseType="lpstr">
      <vt:lpstr>Hoja10</vt:lpstr>
      <vt:lpstr>LINIX</vt:lpstr>
      <vt:lpstr>BALANCE AÑO ANTERIOR</vt:lpstr>
      <vt:lpstr>EJE PRESUPUESTAL </vt:lpstr>
      <vt:lpstr>PYG2010_2009</vt:lpstr>
      <vt:lpstr>Interpretacion_Indicadores</vt:lpstr>
      <vt:lpstr>Hoja1</vt:lpstr>
      <vt:lpstr>Hoja6</vt:lpstr>
      <vt:lpstr>PYGCOM-CON AÑO ANTERIOR </vt:lpstr>
      <vt:lpstr>Mapa_Indicadores</vt:lpstr>
      <vt:lpstr>Mapa_Indicadores (2)</vt:lpstr>
      <vt:lpstr>Indicadores (2)</vt:lpstr>
      <vt:lpstr>Hoja2 (2)</vt:lpstr>
      <vt:lpstr>Indicadores</vt:lpstr>
      <vt:lpstr>estado resultado 1</vt:lpstr>
      <vt:lpstr>Hoja2</vt:lpstr>
      <vt:lpstr>Hoja3</vt:lpstr>
      <vt:lpstr>Hoja4</vt:lpstr>
      <vt:lpstr>Indicadores (3)</vt:lpstr>
      <vt:lpstr>Presup_2013 (4)</vt:lpstr>
      <vt:lpstr>EJECUTADO VS PRESUPUESTO ANUAL</vt:lpstr>
      <vt:lpstr>PRESUPUESTO 2014</vt:lpstr>
      <vt:lpstr>Hoja5</vt:lpstr>
      <vt:lpstr>Hoja7</vt:lpstr>
      <vt:lpstr>Hoja8</vt:lpstr>
      <vt:lpstr>Mapa_Indicadores (3)</vt:lpstr>
      <vt:lpstr>Presupuesto_2015_ Ajustado2 (2</vt:lpstr>
      <vt:lpstr>Hoja9</vt:lpstr>
      <vt:lpstr>Presupuesto_2015_ Ajustado2 (2)</vt:lpstr>
      <vt:lpstr>ESTADO SIT FINANCIERA 24-23</vt:lpstr>
      <vt:lpstr>PYG COMPARTIVO 24-23</vt:lpstr>
      <vt:lpstr>FLUJO DE EFECTIVO 24-23</vt:lpstr>
      <vt:lpstr>EST CAMBIO PATRIMONIO 24-23</vt:lpstr>
      <vt:lpstr>consolidado balance sas 24-23</vt:lpstr>
      <vt:lpstr>NUEVO EEFF CONSOLIDADO 22</vt:lpstr>
      <vt:lpstr>FLUJO DE EFECTIVO 24-23(CONSOL)</vt:lpstr>
      <vt:lpstr>E R INTEGRA CONS IF 22-21</vt:lpstr>
      <vt:lpstr>est cambio sit fin 2017</vt:lpstr>
      <vt:lpstr>NIIF 2015-2016</vt:lpstr>
      <vt:lpstr>consolidado if sas 2016</vt:lpstr>
      <vt:lpstr>Hoja11</vt:lpstr>
      <vt:lpstr>pyg comparativo simplificado</vt:lpstr>
      <vt:lpstr>'consolidado balance sas 24-23'!Área_de_impresión</vt:lpstr>
      <vt:lpstr>'consolidado if sas 2016'!Área_de_impresión</vt:lpstr>
      <vt:lpstr>'E R INTEGRA CONS IF 22-21'!Área_de_impresión</vt:lpstr>
      <vt:lpstr>'EJE PRESUPUESTAL '!Área_de_impresión</vt:lpstr>
      <vt:lpstr>'EJECUTADO VS PRESUPUESTO ANUAL'!Área_de_impresión</vt:lpstr>
      <vt:lpstr>'ESTADO SIT FINANCIERA 24-23'!Área_de_impresión</vt:lpstr>
      <vt:lpstr>'FLUJO DE EFECTIVO 24-23'!Área_de_impresión</vt:lpstr>
      <vt:lpstr>'FLUJO DE EFECTIVO 24-23(CONSOL)'!Área_de_impresión</vt:lpstr>
      <vt:lpstr>Indicadores!Área_de_impresión</vt:lpstr>
      <vt:lpstr>'Indicadores (2)'!Área_de_impresión</vt:lpstr>
      <vt:lpstr>'Indicadores (3)'!Área_de_impresión</vt:lpstr>
      <vt:lpstr>Mapa_Indicadores!Área_de_impresión</vt:lpstr>
      <vt:lpstr>'Mapa_Indicadores (2)'!Área_de_impresión</vt:lpstr>
      <vt:lpstr>'Mapa_Indicadores (3)'!Área_de_impresión</vt:lpstr>
      <vt:lpstr>'Presup_2013 (4)'!Área_de_impresión</vt:lpstr>
      <vt:lpstr>'PRESUPUESTO 2014'!Área_de_impresión</vt:lpstr>
      <vt:lpstr>'Presupuesto_2015_ Ajustado2 (2'!Área_de_impresión</vt:lpstr>
      <vt:lpstr>'Presupuesto_2015_ Ajustado2 (2)'!Área_de_impresión</vt:lpstr>
      <vt:lpstr>'PYGCOM-CON AÑO ANTERIOR '!Área_de_impresión</vt:lpstr>
      <vt:lpstr>'BALANCE AÑO ANTERIOR'!Títulos_a_imprimir</vt:lpstr>
      <vt:lpstr>'consolidado if sas 2016'!Títulos_a_imprimir</vt:lpstr>
      <vt:lpstr>'PRESUPUESTO 2014'!Títulos_a_imprimir</vt:lpstr>
      <vt:lpstr>'Presupuesto_2015_ Ajustado2 (2'!Títulos_a_imprimir</vt:lpstr>
      <vt:lpstr>'Presupuesto_2015_ Ajustado2 (2)'!Títulos_a_imprimir</vt:lpstr>
      <vt:lpstr>'PYGCOM-CON AÑO ANTERIOR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Adriana Patricia Alvear Ballestas</cp:lastModifiedBy>
  <cp:lastPrinted>2023-03-23T21:15:42Z</cp:lastPrinted>
  <dcterms:created xsi:type="dcterms:W3CDTF">2010-01-22T21:19:54Z</dcterms:created>
  <dcterms:modified xsi:type="dcterms:W3CDTF">2025-03-14T19:38:43Z</dcterms:modified>
</cp:coreProperties>
</file>